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https://uofstthomasmn-my.sharepoint.com/personal/mitc9299_stthomas_edu/Documents/Current classes/Entre_financial management/Assignments/Group Project/"/>
    </mc:Choice>
  </mc:AlternateContent>
  <xr:revisionPtr revIDLastSave="1607" documentId="8_{63C17B5E-223F-8047-8729-D39A7D65E423}" xr6:coauthVersionLast="47" xr6:coauthVersionMax="47" xr10:uidLastSave="{F5692EAD-6CEA-104C-A4C0-4FCADC571F10}"/>
  <bookViews>
    <workbookView xWindow="0" yWindow="860" windowWidth="17100" windowHeight="21380" xr2:uid="{E19AE476-395A-2548-A756-71149A18C2E2}"/>
  </bookViews>
  <sheets>
    <sheet name="Assumptions" sheetId="1" r:id="rId1"/>
    <sheet name="Balance Sheet" sheetId="3" r:id="rId2"/>
    <sheet name="Income Statement" sheetId="2" r:id="rId3"/>
    <sheet name="Cash Flow" sheetId="4" r:id="rId4"/>
    <sheet name="Cap Table" sheetId="5" r:id="rId5"/>
  </sheets>
  <externalReferences>
    <externalReference r:id="rId6"/>
  </externalReferences>
  <definedNames>
    <definedName name="\">Assumptions!$B$15</definedName>
    <definedName name="Annual_Base_Package_Price">Assumptions!$B$6</definedName>
    <definedName name="Annual_depreciation_rate">Assumptions!$B$45</definedName>
    <definedName name="Annual_Premium_Package_Price">Assumptions!$D$6</definedName>
    <definedName name="Annual_Price_of_Contractors">Assumptions!$B$4</definedName>
    <definedName name="Base_COGS">Assumptions!$B$14</definedName>
    <definedName name="Base_monthly_C.A._inrease">Assumptions!$B$9</definedName>
    <definedName name="Base_Monthly_COGS">Assumptions!$B$15</definedName>
    <definedName name="Base_total">Assumptions!$I$6</definedName>
    <definedName name="COGS">Assumptions!$B$14</definedName>
    <definedName name="increase_in_COGS">Assumptions!$F$5</definedName>
    <definedName name="Increase_in_Revenue">Assumptions!$F$4</definedName>
    <definedName name="January_Base_Customer_Acquisitions">Assumptions!$B$8</definedName>
    <definedName name="January_Customer_Acquisitions">Assumptions!$B$8</definedName>
    <definedName name="January_Op._Expense">[1]Assumptions!$B$9</definedName>
    <definedName name="January_Revenue">[1]Assumptions!$B$5</definedName>
    <definedName name="Monthly_Base_Package_Price">Assumptions!$B$7</definedName>
    <definedName name="Monthly_COGS">Assumptions!$B$15</definedName>
    <definedName name="Monthly_Premium_Package_Price">Assumptions!$D$7</definedName>
    <definedName name="Monthly_Supply_Needs">Assumptions!#REF!</definedName>
    <definedName name="Monthy_COGS">Assumptions!$B$15</definedName>
    <definedName name="Montthly_C.A._inrease">Assumptions!$B$9</definedName>
    <definedName name="Paid_in_Capital">Assumptions!$B$53</definedName>
    <definedName name="Per_Month_Increase_in_Accts_Pay">Assumptions!$B$40</definedName>
    <definedName name="Per_Month_Increase_in_Accts_Rec">Assumptions!$B$39</definedName>
    <definedName name="Per_Month_Increase_in_Inventory">Assumptions!#REF!</definedName>
    <definedName name="Per_Month_Op._Expense_Increase">[1]Assumptions!$B$10</definedName>
    <definedName name="Per_Month_Sales_Increase">Assumptions!$B$7</definedName>
    <definedName name="Premium_COGS">Assumptions!$B$16</definedName>
    <definedName name="Premium_Monthly_COGS">Assumptions!$B$17</definedName>
    <definedName name="Year_2__hardware">Assumptions!$B$43</definedName>
    <definedName name="Year_2_5_increase_in_accounts_payable">Assumptions!$D$40</definedName>
    <definedName name="Year_2_5_increase_in_accounts_recieveable">Assumptions!$D$39</definedName>
    <definedName name="Year_2_5_increase_in_inventory">Assumptions!#REF!</definedName>
    <definedName name="Year_2_Premium_C.A.">Assumptions!$D$5</definedName>
    <definedName name="Year_2_Vehicle_Purchase">Assumptions!$F$21</definedName>
    <definedName name="Year_3_Expansion_Marketing">Assumptions!$F$22</definedName>
    <definedName name="Year_3_Vehicle_Purchase">Assumptions!$F$21</definedName>
    <definedName name="Year_5_Expansion_Marketing">Assumptions!$F$23</definedName>
    <definedName name="Yearly_C.A._Increase">Assumptions!$D$4</definedName>
    <definedName name="Yearly_Op_Expense">Assumptions!$B$26</definedName>
    <definedName name="Yearly_Op_expense_increase">Assumptions!$D$26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" l="1"/>
  <c r="B26" i="1"/>
  <c r="J6" i="2" s="1"/>
  <c r="C24" i="3"/>
  <c r="D24" i="3" s="1"/>
  <c r="E24" i="3" s="1"/>
  <c r="F24" i="3" s="1"/>
  <c r="G24" i="3" s="1"/>
  <c r="H24" i="3" s="1"/>
  <c r="I24" i="3" s="1"/>
  <c r="J24" i="3" s="1"/>
  <c r="K24" i="3" s="1"/>
  <c r="L24" i="3" s="1"/>
  <c r="M24" i="3" s="1"/>
  <c r="H5" i="5"/>
  <c r="H6" i="5" s="1"/>
  <c r="I5" i="5"/>
  <c r="B14" i="3"/>
  <c r="C14" i="3"/>
  <c r="D14" i="3"/>
  <c r="E14" i="3"/>
  <c r="F14" i="3"/>
  <c r="G14" i="3"/>
  <c r="H14" i="3"/>
  <c r="I14" i="3"/>
  <c r="J14" i="3"/>
  <c r="K14" i="3"/>
  <c r="L14" i="3"/>
  <c r="M14" i="3"/>
  <c r="N14" i="3"/>
  <c r="N5" i="4"/>
  <c r="I6" i="2" l="1"/>
  <c r="H6" i="2"/>
  <c r="F6" i="2"/>
  <c r="L6" i="2"/>
  <c r="D6" i="2"/>
  <c r="B6" i="2"/>
  <c r="K6" i="2"/>
  <c r="C6" i="2"/>
  <c r="G6" i="2"/>
  <c r="M6" i="2"/>
  <c r="E6" i="2"/>
  <c r="I4" i="5"/>
  <c r="I6" i="5" s="1"/>
  <c r="P16" i="3"/>
  <c r="Q16" i="3" s="1"/>
  <c r="R16" i="3" s="1"/>
  <c r="O16" i="3"/>
  <c r="O12" i="3"/>
  <c r="N19" i="4"/>
  <c r="N12" i="4"/>
  <c r="N11" i="4"/>
  <c r="N30" i="3"/>
  <c r="N25" i="3"/>
  <c r="N16" i="3"/>
  <c r="C19" i="4"/>
  <c r="D19" i="4"/>
  <c r="E19" i="4"/>
  <c r="F19" i="4"/>
  <c r="G19" i="4"/>
  <c r="H19" i="4"/>
  <c r="I19" i="4"/>
  <c r="J19" i="4"/>
  <c r="K19" i="4"/>
  <c r="L19" i="4"/>
  <c r="M19" i="4"/>
  <c r="O19" i="4"/>
  <c r="P19" i="4"/>
  <c r="Q19" i="4"/>
  <c r="R19" i="4"/>
  <c r="B19" i="4"/>
  <c r="B11" i="4"/>
  <c r="B12" i="4" s="1"/>
  <c r="B7" i="4"/>
  <c r="B5" i="4"/>
  <c r="B30" i="3"/>
  <c r="B33" i="3"/>
  <c r="C29" i="3"/>
  <c r="C30" i="3" s="1"/>
  <c r="C16" i="3"/>
  <c r="D16" i="3" s="1"/>
  <c r="E16" i="3" s="1"/>
  <c r="F16" i="3" s="1"/>
  <c r="G16" i="3" s="1"/>
  <c r="H16" i="3" s="1"/>
  <c r="I16" i="3" s="1"/>
  <c r="J16" i="3" s="1"/>
  <c r="K16" i="3" s="1"/>
  <c r="L16" i="3" s="1"/>
  <c r="M16" i="3" s="1"/>
  <c r="C13" i="3"/>
  <c r="C5" i="4" s="1"/>
  <c r="C12" i="3"/>
  <c r="C11" i="4" s="1"/>
  <c r="C12" i="4" s="1"/>
  <c r="B44" i="1"/>
  <c r="D40" i="1"/>
  <c r="N6" i="2" l="1"/>
  <c r="M7" i="4"/>
  <c r="O7" i="2"/>
  <c r="O5" i="4" s="1"/>
  <c r="N24" i="3"/>
  <c r="D12" i="3"/>
  <c r="E12" i="3" s="1"/>
  <c r="F12" i="3" s="1"/>
  <c r="G12" i="3" s="1"/>
  <c r="H12" i="3" s="1"/>
  <c r="I12" i="3" s="1"/>
  <c r="J12" i="3" s="1"/>
  <c r="K12" i="3" s="1"/>
  <c r="L12" i="3" s="1"/>
  <c r="M12" i="3" s="1"/>
  <c r="N29" i="3"/>
  <c r="N12" i="3"/>
  <c r="D29" i="3"/>
  <c r="E29" i="3" s="1"/>
  <c r="F29" i="3" s="1"/>
  <c r="G29" i="3" s="1"/>
  <c r="H29" i="3" s="1"/>
  <c r="I29" i="3" s="1"/>
  <c r="J29" i="3" s="1"/>
  <c r="K29" i="3" s="1"/>
  <c r="L29" i="3" s="1"/>
  <c r="M29" i="3" s="1"/>
  <c r="O29" i="3" s="1"/>
  <c r="P29" i="3"/>
  <c r="O30" i="3"/>
  <c r="G30" i="3"/>
  <c r="K7" i="4"/>
  <c r="K11" i="4"/>
  <c r="K12" i="4" s="1"/>
  <c r="H30" i="3"/>
  <c r="L7" i="4"/>
  <c r="D7" i="4"/>
  <c r="L11" i="4"/>
  <c r="L12" i="4" s="1"/>
  <c r="D11" i="4"/>
  <c r="D12" i="4" s="1"/>
  <c r="F30" i="3"/>
  <c r="C7" i="4"/>
  <c r="J7" i="4"/>
  <c r="J11" i="4"/>
  <c r="J12" i="4" s="1"/>
  <c r="I7" i="4"/>
  <c r="I11" i="4"/>
  <c r="I12" i="4" s="1"/>
  <c r="H7" i="4"/>
  <c r="H11" i="4"/>
  <c r="H12" i="4" s="1"/>
  <c r="D13" i="3"/>
  <c r="E13" i="3" s="1"/>
  <c r="G11" i="4"/>
  <c r="G12" i="4" s="1"/>
  <c r="G7" i="4"/>
  <c r="F7" i="4"/>
  <c r="F11" i="4"/>
  <c r="F12" i="4" s="1"/>
  <c r="E7" i="4"/>
  <c r="M11" i="4"/>
  <c r="M12" i="4" s="1"/>
  <c r="E11" i="4"/>
  <c r="E12" i="4" s="1"/>
  <c r="P30" i="3"/>
  <c r="Q29" i="3"/>
  <c r="I30" i="3"/>
  <c r="L30" i="3"/>
  <c r="D30" i="3"/>
  <c r="C33" i="3"/>
  <c r="D5" i="4"/>
  <c r="E30" i="3"/>
  <c r="K30" i="3"/>
  <c r="M30" i="3"/>
  <c r="J30" i="3"/>
  <c r="N7" i="4" l="1"/>
  <c r="O24" i="3"/>
  <c r="P24" i="3" s="1"/>
  <c r="Q24" i="3" s="1"/>
  <c r="R24" i="3" s="1"/>
  <c r="O25" i="3"/>
  <c r="O11" i="4"/>
  <c r="O12" i="4" s="1"/>
  <c r="P12" i="3"/>
  <c r="F13" i="3"/>
  <c r="E5" i="4"/>
  <c r="P7" i="4"/>
  <c r="Q7" i="4"/>
  <c r="O7" i="4"/>
  <c r="R29" i="3"/>
  <c r="R30" i="3" s="1"/>
  <c r="Q30" i="3"/>
  <c r="D33" i="3"/>
  <c r="Q12" i="3" l="1"/>
  <c r="Q11" i="4" s="1"/>
  <c r="Q12" i="4" s="1"/>
  <c r="P7" i="2"/>
  <c r="P5" i="4" s="1"/>
  <c r="G13" i="3"/>
  <c r="F5" i="4"/>
  <c r="P11" i="4"/>
  <c r="P12" i="4" s="1"/>
  <c r="R7" i="4"/>
  <c r="E33" i="3"/>
  <c r="Q7" i="2" l="1"/>
  <c r="Q5" i="4" s="1"/>
  <c r="R12" i="3"/>
  <c r="R7" i="2" s="1"/>
  <c r="R5" i="4" s="1"/>
  <c r="H13" i="3"/>
  <c r="G5" i="4"/>
  <c r="F33" i="3"/>
  <c r="R11" i="4" l="1"/>
  <c r="R12" i="4" s="1"/>
  <c r="I13" i="3"/>
  <c r="H5" i="4"/>
  <c r="G33" i="3"/>
  <c r="J13" i="3" l="1"/>
  <c r="I5" i="4"/>
  <c r="H33" i="3"/>
  <c r="K13" i="3" l="1"/>
  <c r="J5" i="4"/>
  <c r="I33" i="3"/>
  <c r="L13" i="3" l="1"/>
  <c r="K5" i="4"/>
  <c r="J33" i="3"/>
  <c r="M13" i="3" l="1"/>
  <c r="N13" i="3" s="1"/>
  <c r="L5" i="4"/>
  <c r="K33" i="3"/>
  <c r="M5" i="4" l="1"/>
  <c r="O13" i="3"/>
  <c r="O14" i="3" s="1"/>
  <c r="L33" i="3"/>
  <c r="P13" i="3" l="1"/>
  <c r="P14" i="3" s="1"/>
  <c r="M33" i="3"/>
  <c r="N33" i="3" l="1"/>
  <c r="O33" i="3" s="1"/>
  <c r="P33" i="3" s="1"/>
  <c r="Q33" i="3" s="1"/>
  <c r="R33" i="3" s="1"/>
  <c r="Q13" i="3"/>
  <c r="Q14" i="3" s="1"/>
  <c r="R13" i="3" l="1"/>
  <c r="R14" i="3" s="1"/>
  <c r="I15" i="1" l="1"/>
  <c r="I14" i="1"/>
  <c r="I13" i="1"/>
  <c r="I12" i="1"/>
  <c r="I11" i="1"/>
  <c r="I9" i="1"/>
  <c r="I5" i="1"/>
  <c r="I3" i="1"/>
  <c r="B16" i="1" l="1"/>
  <c r="B17" i="1" s="1"/>
  <c r="I6" i="1"/>
  <c r="B4" i="1" s="1"/>
  <c r="B14" i="1" s="1"/>
  <c r="D6" i="1" l="1"/>
  <c r="D7" i="1" s="1"/>
  <c r="O4" i="2"/>
  <c r="P4" i="2" s="1"/>
  <c r="Q4" i="2" s="1"/>
  <c r="R4" i="2" s="1"/>
  <c r="B6" i="1"/>
  <c r="O3" i="2" s="1"/>
  <c r="B15" i="1"/>
  <c r="B4" i="2" s="1"/>
  <c r="P3" i="2" l="1"/>
  <c r="B7" i="1"/>
  <c r="M3" i="2" s="1"/>
  <c r="H4" i="2"/>
  <c r="L4" i="2"/>
  <c r="I4" i="2"/>
  <c r="D4" i="2"/>
  <c r="M4" i="2"/>
  <c r="J4" i="2"/>
  <c r="K4" i="2"/>
  <c r="E4" i="2"/>
  <c r="F4" i="2"/>
  <c r="C4" i="2"/>
  <c r="G4" i="2"/>
  <c r="P5" i="2" l="1"/>
  <c r="Q3" i="2"/>
  <c r="R3" i="2" s="1"/>
  <c r="C3" i="2"/>
  <c r="C5" i="2" s="1"/>
  <c r="C8" i="2" s="1"/>
  <c r="F3" i="2"/>
  <c r="F5" i="2" s="1"/>
  <c r="F8" i="2" s="1"/>
  <c r="L3" i="2"/>
  <c r="L5" i="2" s="1"/>
  <c r="L8" i="2" s="1"/>
  <c r="G3" i="2"/>
  <c r="G5" i="2" s="1"/>
  <c r="G8" i="2" s="1"/>
  <c r="B3" i="2"/>
  <c r="M5" i="2"/>
  <c r="M8" i="2" s="1"/>
  <c r="H3" i="2"/>
  <c r="I3" i="2"/>
  <c r="I5" i="2" s="1"/>
  <c r="I8" i="2" s="1"/>
  <c r="J3" i="2"/>
  <c r="J5" i="2" s="1"/>
  <c r="J8" i="2" s="1"/>
  <c r="K3" i="2"/>
  <c r="K5" i="2" s="1"/>
  <c r="K8" i="2" s="1"/>
  <c r="D3" i="2"/>
  <c r="D5" i="2" s="1"/>
  <c r="D8" i="2" s="1"/>
  <c r="E3" i="2"/>
  <c r="E5" i="2" s="1"/>
  <c r="E8" i="2" s="1"/>
  <c r="O5" i="2"/>
  <c r="N4" i="2"/>
  <c r="H5" i="2"/>
  <c r="H8" i="2" s="1"/>
  <c r="Q5" i="2" l="1"/>
  <c r="B7" i="3"/>
  <c r="N3" i="2"/>
  <c r="N5" i="2" s="1"/>
  <c r="N8" i="2" s="1"/>
  <c r="N11" i="2" s="1"/>
  <c r="N4" i="4" s="1"/>
  <c r="B5" i="2"/>
  <c r="B8" i="2" s="1"/>
  <c r="B11" i="2" s="1"/>
  <c r="E11" i="2"/>
  <c r="E4" i="4" s="1"/>
  <c r="K11" i="2"/>
  <c r="K4" i="4" s="1"/>
  <c r="D11" i="2"/>
  <c r="D4" i="4" s="1"/>
  <c r="H11" i="2"/>
  <c r="H4" i="4" s="1"/>
  <c r="L11" i="2"/>
  <c r="L4" i="4" s="1"/>
  <c r="F11" i="2"/>
  <c r="F4" i="4" s="1"/>
  <c r="J11" i="2"/>
  <c r="J4" i="4" s="1"/>
  <c r="I11" i="2"/>
  <c r="I4" i="4" s="1"/>
  <c r="M11" i="2"/>
  <c r="M4" i="4" s="1"/>
  <c r="G11" i="2"/>
  <c r="G4" i="4" s="1"/>
  <c r="C11" i="2"/>
  <c r="C4" i="4" s="1"/>
  <c r="R5" i="2"/>
  <c r="B2" i="5"/>
  <c r="B23" i="3" l="1"/>
  <c r="C7" i="3"/>
  <c r="D7" i="3" s="1"/>
  <c r="E7" i="3" s="1"/>
  <c r="F7" i="3" s="1"/>
  <c r="G7" i="3" s="1"/>
  <c r="H7" i="3" s="1"/>
  <c r="I7" i="3" s="1"/>
  <c r="J7" i="3" s="1"/>
  <c r="K7" i="3" s="1"/>
  <c r="L7" i="3" s="1"/>
  <c r="M7" i="3" s="1"/>
  <c r="B6" i="4"/>
  <c r="B34" i="3"/>
  <c r="C34" i="3" s="1"/>
  <c r="B4" i="4"/>
  <c r="C6" i="4" l="1"/>
  <c r="D6" i="4"/>
  <c r="B8" i="4"/>
  <c r="B9" i="4" s="1"/>
  <c r="B21" i="4" s="1"/>
  <c r="B23" i="4" s="1"/>
  <c r="C23" i="3"/>
  <c r="B26" i="3"/>
  <c r="B35" i="3"/>
  <c r="D34" i="3"/>
  <c r="C35" i="3"/>
  <c r="E6" i="4"/>
  <c r="C22" i="4" l="1"/>
  <c r="B6" i="3"/>
  <c r="B37" i="3"/>
  <c r="C8" i="4"/>
  <c r="C9" i="4" s="1"/>
  <c r="C21" i="4" s="1"/>
  <c r="C23" i="4" s="1"/>
  <c r="D23" i="3"/>
  <c r="C26" i="3"/>
  <c r="C37" i="3" s="1"/>
  <c r="E34" i="3"/>
  <c r="D35" i="3"/>
  <c r="F6" i="4"/>
  <c r="C6" i="3" l="1"/>
  <c r="C9" i="3" s="1"/>
  <c r="C18" i="3" s="1"/>
  <c r="C39" i="3" s="1"/>
  <c r="D22" i="4"/>
  <c r="D8" i="4"/>
  <c r="D9" i="4" s="1"/>
  <c r="D21" i="4" s="1"/>
  <c r="D26" i="3"/>
  <c r="D37" i="3" s="1"/>
  <c r="E23" i="3"/>
  <c r="F34" i="3"/>
  <c r="E35" i="3"/>
  <c r="G6" i="4"/>
  <c r="E8" i="4" l="1"/>
  <c r="E9" i="4" s="1"/>
  <c r="E21" i="4" s="1"/>
  <c r="E26" i="3"/>
  <c r="E37" i="3" s="1"/>
  <c r="F23" i="3"/>
  <c r="D23" i="4"/>
  <c r="G34" i="3"/>
  <c r="F35" i="3"/>
  <c r="H6" i="4"/>
  <c r="E22" i="4" l="1"/>
  <c r="E23" i="4" s="1"/>
  <c r="D6" i="3"/>
  <c r="D9" i="3" s="1"/>
  <c r="D18" i="3" s="1"/>
  <c r="D39" i="3" s="1"/>
  <c r="F8" i="4"/>
  <c r="F9" i="4" s="1"/>
  <c r="F21" i="4" s="1"/>
  <c r="G23" i="3"/>
  <c r="F26" i="3"/>
  <c r="F37" i="3" s="1"/>
  <c r="H34" i="3"/>
  <c r="G35" i="3"/>
  <c r="I6" i="4"/>
  <c r="G8" i="4" l="1"/>
  <c r="G9" i="4" s="1"/>
  <c r="G21" i="4" s="1"/>
  <c r="H23" i="3"/>
  <c r="G26" i="3"/>
  <c r="G37" i="3" s="1"/>
  <c r="E6" i="3"/>
  <c r="E9" i="3" s="1"/>
  <c r="E18" i="3" s="1"/>
  <c r="E39" i="3" s="1"/>
  <c r="F22" i="4"/>
  <c r="F23" i="4" s="1"/>
  <c r="I34" i="3"/>
  <c r="H35" i="3"/>
  <c r="J6" i="4"/>
  <c r="G22" i="4" l="1"/>
  <c r="G23" i="4" s="1"/>
  <c r="F6" i="3"/>
  <c r="F9" i="3" s="1"/>
  <c r="F18" i="3" s="1"/>
  <c r="F39" i="3" s="1"/>
  <c r="H8" i="4"/>
  <c r="H9" i="4" s="1"/>
  <c r="H21" i="4" s="1"/>
  <c r="I23" i="3"/>
  <c r="H26" i="3"/>
  <c r="H37" i="3" s="1"/>
  <c r="J34" i="3"/>
  <c r="I35" i="3"/>
  <c r="K6" i="4"/>
  <c r="I8" i="4" l="1"/>
  <c r="I9" i="4" s="1"/>
  <c r="I21" i="4" s="1"/>
  <c r="J23" i="3"/>
  <c r="I26" i="3"/>
  <c r="I37" i="3" s="1"/>
  <c r="H22" i="4"/>
  <c r="H23" i="4" s="1"/>
  <c r="G6" i="3"/>
  <c r="G9" i="3" s="1"/>
  <c r="G18" i="3" s="1"/>
  <c r="G39" i="3" s="1"/>
  <c r="K34" i="3"/>
  <c r="J35" i="3"/>
  <c r="L6" i="4"/>
  <c r="N7" i="3"/>
  <c r="J8" i="4" l="1"/>
  <c r="J9" i="4" s="1"/>
  <c r="J21" i="4" s="1"/>
  <c r="K23" i="3"/>
  <c r="J26" i="3"/>
  <c r="J37" i="3" s="1"/>
  <c r="I22" i="4"/>
  <c r="I23" i="4" s="1"/>
  <c r="H6" i="3"/>
  <c r="H9" i="3" s="1"/>
  <c r="H18" i="3" s="1"/>
  <c r="H39" i="3" s="1"/>
  <c r="N6" i="4"/>
  <c r="O7" i="3"/>
  <c r="L34" i="3"/>
  <c r="K35" i="3"/>
  <c r="M6" i="4"/>
  <c r="K8" i="4" l="1"/>
  <c r="K9" i="4" s="1"/>
  <c r="K21" i="4" s="1"/>
  <c r="K26" i="3"/>
  <c r="K37" i="3" s="1"/>
  <c r="L23" i="3"/>
  <c r="J22" i="4"/>
  <c r="J23" i="4" s="1"/>
  <c r="I6" i="3"/>
  <c r="I9" i="3" s="1"/>
  <c r="I18" i="3" s="1"/>
  <c r="I39" i="3" s="1"/>
  <c r="M34" i="3"/>
  <c r="N34" i="3" s="1"/>
  <c r="L35" i="3"/>
  <c r="O6" i="4"/>
  <c r="L8" i="4" l="1"/>
  <c r="L9" i="4" s="1"/>
  <c r="L21" i="4" s="1"/>
  <c r="M23" i="3"/>
  <c r="L26" i="3"/>
  <c r="L37" i="3" s="1"/>
  <c r="J6" i="3"/>
  <c r="J9" i="3" s="1"/>
  <c r="J18" i="3" s="1"/>
  <c r="J39" i="3" s="1"/>
  <c r="K22" i="4"/>
  <c r="K23" i="4" s="1"/>
  <c r="N35" i="3"/>
  <c r="M35" i="3"/>
  <c r="P7" i="3"/>
  <c r="L22" i="4" l="1"/>
  <c r="L23" i="4" s="1"/>
  <c r="K6" i="3"/>
  <c r="K9" i="3" s="1"/>
  <c r="K18" i="3" s="1"/>
  <c r="K39" i="3" s="1"/>
  <c r="M26" i="3"/>
  <c r="M37" i="3" s="1"/>
  <c r="M8" i="4"/>
  <c r="M9" i="4" s="1"/>
  <c r="M21" i="4" s="1"/>
  <c r="N21" i="4" s="1"/>
  <c r="N23" i="3"/>
  <c r="P6" i="4"/>
  <c r="Q7" i="3"/>
  <c r="O23" i="3" l="1"/>
  <c r="N26" i="3"/>
  <c r="N37" i="3" s="1"/>
  <c r="N8" i="4"/>
  <c r="N9" i="4" s="1"/>
  <c r="M22" i="4"/>
  <c r="L6" i="3"/>
  <c r="L9" i="3" s="1"/>
  <c r="L18" i="3" s="1"/>
  <c r="L39" i="3" s="1"/>
  <c r="Q6" i="4"/>
  <c r="R7" i="3"/>
  <c r="B9" i="3"/>
  <c r="B18" i="3" s="1"/>
  <c r="B39" i="3" s="1"/>
  <c r="N22" i="4" l="1"/>
  <c r="M23" i="4"/>
  <c r="O8" i="4"/>
  <c r="P23" i="3"/>
  <c r="O26" i="3"/>
  <c r="R6" i="4"/>
  <c r="P8" i="4" l="1"/>
  <c r="P26" i="3"/>
  <c r="Q23" i="3"/>
  <c r="N23" i="4"/>
  <c r="M6" i="3"/>
  <c r="M9" i="3" s="1"/>
  <c r="M18" i="3" s="1"/>
  <c r="M39" i="3" s="1"/>
  <c r="O22" i="4" l="1"/>
  <c r="N6" i="3"/>
  <c r="N9" i="3" s="1"/>
  <c r="N18" i="3" s="1"/>
  <c r="N39" i="3" s="1"/>
  <c r="Q8" i="4"/>
  <c r="Q26" i="3"/>
  <c r="R23" i="3"/>
  <c r="R26" i="3" l="1"/>
  <c r="R8" i="4"/>
  <c r="O6" i="2"/>
  <c r="O8" i="2" s="1"/>
  <c r="O11" i="2" s="1"/>
  <c r="P6" i="2" l="1"/>
  <c r="Q6" i="2" s="1"/>
  <c r="R6" i="2" s="1"/>
  <c r="R8" i="2" s="1"/>
  <c r="R11" i="2" s="1"/>
  <c r="O4" i="4"/>
  <c r="O9" i="4" s="1"/>
  <c r="O21" i="4" s="1"/>
  <c r="O23" i="4" s="1"/>
  <c r="O34" i="3"/>
  <c r="P8" i="2"/>
  <c r="P11" i="2" s="1"/>
  <c r="P4" i="4" s="1"/>
  <c r="P9" i="4" s="1"/>
  <c r="P21" i="4" s="1"/>
  <c r="Q8" i="2" l="1"/>
  <c r="Q11" i="2" s="1"/>
  <c r="Q4" i="4" s="1"/>
  <c r="Q9" i="4" s="1"/>
  <c r="Q21" i="4" s="1"/>
  <c r="O35" i="3"/>
  <c r="O37" i="3" s="1"/>
  <c r="P34" i="3"/>
  <c r="P22" i="4"/>
  <c r="P23" i="4" s="1"/>
  <c r="O6" i="3"/>
  <c r="O9" i="3" s="1"/>
  <c r="O18" i="3" s="1"/>
  <c r="R4" i="4"/>
  <c r="R9" i="4" s="1"/>
  <c r="R21" i="4" s="1"/>
  <c r="B3" i="5"/>
  <c r="B6" i="5" s="1"/>
  <c r="H7" i="5" s="1"/>
  <c r="H8" i="5" l="1"/>
  <c r="H9" i="5"/>
  <c r="Q22" i="4"/>
  <c r="Q23" i="4" s="1"/>
  <c r="P6" i="3"/>
  <c r="P9" i="3" s="1"/>
  <c r="P18" i="3" s="1"/>
  <c r="P35" i="3"/>
  <c r="P37" i="3" s="1"/>
  <c r="Q34" i="3"/>
  <c r="O39" i="3"/>
  <c r="R34" i="3" l="1"/>
  <c r="R35" i="3" s="1"/>
  <c r="R37" i="3" s="1"/>
  <c r="Q35" i="3"/>
  <c r="Q37" i="3" s="1"/>
  <c r="P39" i="3"/>
  <c r="Q6" i="3"/>
  <c r="Q9" i="3" s="1"/>
  <c r="Q18" i="3" s="1"/>
  <c r="R22" i="4"/>
  <c r="R23" i="4" s="1"/>
  <c r="R6" i="3" s="1"/>
  <c r="R9" i="3" s="1"/>
  <c r="R18" i="3" s="1"/>
  <c r="Q39" i="3" l="1"/>
  <c r="R39" i="3"/>
</calcChain>
</file>

<file path=xl/sharedStrings.xml><?xml version="1.0" encoding="utf-8"?>
<sst xmlns="http://schemas.openxmlformats.org/spreadsheetml/2006/main" count="161" uniqueCount="143">
  <si>
    <t>Income Statement Assumptions</t>
  </si>
  <si>
    <t>Revenue Assumptions</t>
  </si>
  <si>
    <t>Annual Price of Contractors</t>
  </si>
  <si>
    <t>Mark-up %</t>
  </si>
  <si>
    <t>Annual Base Package Price</t>
  </si>
  <si>
    <t>Cost Assumptions</t>
  </si>
  <si>
    <t>Base Package</t>
  </si>
  <si>
    <t>Mowing (6 months/yr)</t>
  </si>
  <si>
    <t>Snow Removal (4 months/yr)</t>
  </si>
  <si>
    <t>COGS</t>
  </si>
  <si>
    <t>Monthly Op Exp</t>
  </si>
  <si>
    <t>Marketing Fees/Month</t>
  </si>
  <si>
    <t>Gas</t>
  </si>
  <si>
    <t>Insurance</t>
  </si>
  <si>
    <t>Interest Rate</t>
  </si>
  <si>
    <t>Tax Rate</t>
  </si>
  <si>
    <t>Balance Sheet Assumptions</t>
  </si>
  <si>
    <t>Working Capital Assumptions</t>
  </si>
  <si>
    <t>Per Month Increase in Accts Rec</t>
  </si>
  <si>
    <t>Per Month Increase in Accts Pay</t>
  </si>
  <si>
    <t>Fixed Asset Assumptions</t>
  </si>
  <si>
    <t>Purchase of Equipment</t>
  </si>
  <si>
    <t>Other Assumptions</t>
  </si>
  <si>
    <t>Increase in Other Assets</t>
  </si>
  <si>
    <t>Increase in Line of Credit</t>
  </si>
  <si>
    <t>Decrease in Other Note</t>
  </si>
  <si>
    <t>Projected</t>
  </si>
  <si>
    <t>Revenue</t>
  </si>
  <si>
    <t>Gross Profit</t>
  </si>
  <si>
    <t>Op Expenses</t>
  </si>
  <si>
    <t>Depreciation</t>
  </si>
  <si>
    <t>EBIT</t>
  </si>
  <si>
    <t>Interest Expense</t>
  </si>
  <si>
    <t>Income Tax</t>
  </si>
  <si>
    <t>Net Income</t>
  </si>
  <si>
    <t>Year 1</t>
  </si>
  <si>
    <t>Year 2</t>
  </si>
  <si>
    <t>Dock Install/removal</t>
  </si>
  <si>
    <t>Premium Package</t>
  </si>
  <si>
    <t>Boat transportation/storage (6 months/yr)</t>
  </si>
  <si>
    <t>Window washing (3 months/yr)</t>
  </si>
  <si>
    <t>Security check-ins (12months/yr)</t>
  </si>
  <si>
    <t>Lawn Fertilization/weed maintenance (6 months/yr)</t>
  </si>
  <si>
    <t>Premium COGS</t>
  </si>
  <si>
    <t>Premium total</t>
  </si>
  <si>
    <t>Base total</t>
  </si>
  <si>
    <t>Base COGS</t>
  </si>
  <si>
    <t>Base Monthly COGS</t>
  </si>
  <si>
    <t>Premium Monthly COGS</t>
  </si>
  <si>
    <t>Base monthly C.A. inrease</t>
  </si>
  <si>
    <t>Yearly base C.A. Increase</t>
  </si>
  <si>
    <t>Annual Premium Package Price</t>
  </si>
  <si>
    <t>Monthly Premium Package Price</t>
  </si>
  <si>
    <t>Year 2 Premium C.A.</t>
  </si>
  <si>
    <t>Yearly Op expense increase</t>
  </si>
  <si>
    <t>Yearly Op Expense</t>
  </si>
  <si>
    <t>Year 3 Vehicle Purchase</t>
  </si>
  <si>
    <t>Year 3-5</t>
  </si>
  <si>
    <t>Relevant Information</t>
  </si>
  <si>
    <t>Increase in Revenue</t>
  </si>
  <si>
    <t>increase in COGS</t>
  </si>
  <si>
    <r>
      <t xml:space="preserve">0% </t>
    </r>
    <r>
      <rPr>
        <sz val="12"/>
        <color theme="1"/>
        <rFont val="Aptos Narrow (Body)"/>
      </rPr>
      <t>LLC will operate as pass through entity (taxes burden is on personal taxes)</t>
    </r>
  </si>
  <si>
    <t>Balance Sheet</t>
  </si>
  <si>
    <t>Assets</t>
  </si>
  <si>
    <t>Current Assets:</t>
  </si>
  <si>
    <t>Cash</t>
  </si>
  <si>
    <t>Accts Rec</t>
  </si>
  <si>
    <t>Inventory</t>
  </si>
  <si>
    <t>Total Current</t>
  </si>
  <si>
    <t>Fixed Assets:</t>
  </si>
  <si>
    <t xml:space="preserve"> Fixed Assets</t>
  </si>
  <si>
    <t xml:space="preserve"> Less Acc Dep</t>
  </si>
  <si>
    <t>Net Fixed Assets</t>
  </si>
  <si>
    <t>Other Assets</t>
  </si>
  <si>
    <t>Total Assets</t>
  </si>
  <si>
    <t>Liab &amp; OE</t>
  </si>
  <si>
    <t>Current Liab:</t>
  </si>
  <si>
    <t xml:space="preserve"> Accts Pay</t>
  </si>
  <si>
    <t xml:space="preserve"> Line of Credit</t>
  </si>
  <si>
    <t xml:space="preserve"> Other Note</t>
  </si>
  <si>
    <t>Non-Current:</t>
  </si>
  <si>
    <t xml:space="preserve"> LT Debt</t>
  </si>
  <si>
    <t>Total Non-Current</t>
  </si>
  <si>
    <t>Owner's Equity</t>
  </si>
  <si>
    <t xml:space="preserve"> Paid-in Cap</t>
  </si>
  <si>
    <t xml:space="preserve"> Ret Earnings</t>
  </si>
  <si>
    <t>Total OE</t>
  </si>
  <si>
    <t>Total Liab &amp; OE</t>
  </si>
  <si>
    <t>Cash Flow Statement</t>
  </si>
  <si>
    <t>Change in Accounts Rec</t>
  </si>
  <si>
    <t>Change in Inventory</t>
  </si>
  <si>
    <t>Change in Accounts Pay</t>
  </si>
  <si>
    <t>Total Cash From Operations</t>
  </si>
  <si>
    <t>Change in Fixed Assets</t>
  </si>
  <si>
    <t>Total Cash From Investing</t>
  </si>
  <si>
    <t>Decrease in Debt</t>
  </si>
  <si>
    <t>Stock Redemption</t>
  </si>
  <si>
    <t>Dividend Paid</t>
  </si>
  <si>
    <t>New Debt</t>
  </si>
  <si>
    <t>New Equity</t>
  </si>
  <si>
    <t>Cash from Financing</t>
  </si>
  <si>
    <t>Net Cash</t>
  </si>
  <si>
    <t>Beginning Cash</t>
  </si>
  <si>
    <t>Ending Cash</t>
  </si>
  <si>
    <t>Year 2-5 increase in accounts recieveable</t>
  </si>
  <si>
    <t>Year 2-5 increase in accounts payable</t>
  </si>
  <si>
    <t>Year 2: hardware</t>
  </si>
  <si>
    <t>Year 3: Vehicle</t>
  </si>
  <si>
    <t>Annual depreciation rate</t>
  </si>
  <si>
    <t>Paid-in Capital</t>
  </si>
  <si>
    <t>Balance Check</t>
  </si>
  <si>
    <t>Year 5 Revenue</t>
  </si>
  <si>
    <t>Pre-Financing</t>
  </si>
  <si>
    <t>Post-Financing</t>
  </si>
  <si>
    <t>Year 5 EBITDA (or Net Income)</t>
  </si>
  <si>
    <t># of Shares</t>
  </si>
  <si>
    <t>% Ownership</t>
  </si>
  <si>
    <t>Founders</t>
  </si>
  <si>
    <t>EBITDA Multiple (or PE Ratio)</t>
  </si>
  <si>
    <t>Investors</t>
  </si>
  <si>
    <t>n/a</t>
  </si>
  <si>
    <t>Year 5 Company Value</t>
  </si>
  <si>
    <t>Total</t>
  </si>
  <si>
    <t>Price per Share</t>
  </si>
  <si>
    <t>Equity Investment Needed Today</t>
  </si>
  <si>
    <t>Pre-Money Value</t>
  </si>
  <si>
    <t>Desired IRR for Investor</t>
  </si>
  <si>
    <t>Post-Money Value</t>
  </si>
  <si>
    <t>Cash Needed at Exit for desired IRR</t>
  </si>
  <si>
    <t>% Ownership Needed for desired IRR</t>
  </si>
  <si>
    <t>Year 3 Expansion Marketing</t>
  </si>
  <si>
    <t>Year 5 Expansion Marketing</t>
  </si>
  <si>
    <t>March Base Customer Acquisitions</t>
  </si>
  <si>
    <t>Year 1 Totals</t>
  </si>
  <si>
    <t>(March-February)</t>
  </si>
  <si>
    <t>Payment Terms:</t>
  </si>
  <si>
    <t>Due Monthly</t>
  </si>
  <si>
    <t>Bad Debt Expense collected 1 month late:</t>
  </si>
  <si>
    <t>Monthly Base Package Price (year round price despite seasonal changes)</t>
  </si>
  <si>
    <t>Flyers</t>
  </si>
  <si>
    <t>Business Cards</t>
  </si>
  <si>
    <t>Office supplies</t>
  </si>
  <si>
    <t xml:space="preserve">Dock install/removal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</si>
</sst>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0.0%"/>
    <numFmt numFmtId="165" formatCode="_(&quot;$&quot;* #,##0_);_(&quot;$&quot;* \(#,##0\);_(&quot;$&quot;* &quot;-&quot;??_);_(@_)"/>
  </numFmts>
  <fonts count="1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 (Body)"/>
    </font>
    <font>
      <b/>
      <sz val="12"/>
      <color theme="1"/>
      <name val="Aptos Narrow"/>
      <scheme val="minor"/>
    </font>
    <font>
      <b/>
      <sz val="12"/>
      <color theme="1"/>
      <name val="Aptos Narrow (Body)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164" fontId="0" fillId="0" borderId="0" xfId="1" applyNumberFormat="1" applyFont="1"/>
    <xf numFmtId="2" fontId="5" fillId="0" borderId="0" xfId="0" applyNumberFormat="1" applyFont="1"/>
    <xf numFmtId="2" fontId="4" fillId="0" borderId="0" xfId="0" applyNumberFormat="1" applyFont="1"/>
    <xf numFmtId="0" fontId="5" fillId="0" borderId="0" xfId="0" applyFont="1"/>
    <xf numFmtId="3" fontId="0" fillId="0" borderId="0" xfId="0" applyNumberFormat="1"/>
    <xf numFmtId="0" fontId="0" fillId="2" borderId="0" xfId="0" applyFill="1"/>
    <xf numFmtId="0" fontId="2" fillId="2" borderId="0" xfId="0" applyFont="1" applyFill="1" applyAlignment="1">
      <alignment horizontal="right"/>
    </xf>
    <xf numFmtId="9" fontId="2" fillId="2" borderId="0" xfId="0" applyNumberFormat="1" applyFont="1" applyFill="1" applyAlignment="1">
      <alignment horizontal="right"/>
    </xf>
    <xf numFmtId="9" fontId="0" fillId="2" borderId="0" xfId="0" applyNumberFormat="1" applyFill="1"/>
    <xf numFmtId="0" fontId="0" fillId="0" borderId="1" xfId="0" applyBorder="1"/>
    <xf numFmtId="3" fontId="0" fillId="0" borderId="1" xfId="0" applyNumberFormat="1" applyBorder="1"/>
    <xf numFmtId="0" fontId="6" fillId="2" borderId="0" xfId="0" applyFont="1" applyFill="1" applyAlignment="1">
      <alignment horizontal="right"/>
    </xf>
    <xf numFmtId="6" fontId="0" fillId="0" borderId="0" xfId="0" applyNumberFormat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6" fontId="0" fillId="0" borderId="1" xfId="0" applyNumberFormat="1" applyBorder="1"/>
    <xf numFmtId="0" fontId="9" fillId="0" borderId="1" xfId="0" applyFont="1" applyBorder="1" applyAlignment="1">
      <alignment horizontal="left"/>
    </xf>
    <xf numFmtId="0" fontId="10" fillId="0" borderId="1" xfId="0" applyFont="1" applyBorder="1"/>
    <xf numFmtId="0" fontId="9" fillId="0" borderId="0" xfId="0" applyFont="1" applyAlignment="1">
      <alignment horizontal="right"/>
    </xf>
    <xf numFmtId="0" fontId="2" fillId="0" borderId="0" xfId="0" applyFont="1"/>
    <xf numFmtId="0" fontId="7" fillId="0" borderId="1" xfId="0" applyFont="1" applyBorder="1"/>
    <xf numFmtId="0" fontId="7" fillId="0" borderId="0" xfId="0" applyFont="1"/>
    <xf numFmtId="0" fontId="9" fillId="3" borderId="0" xfId="0" applyFont="1" applyFill="1"/>
    <xf numFmtId="0" fontId="0" fillId="3" borderId="0" xfId="0" applyFill="1"/>
    <xf numFmtId="0" fontId="3" fillId="3" borderId="0" xfId="0" applyFont="1" applyFill="1"/>
    <xf numFmtId="0" fontId="5" fillId="3" borderId="0" xfId="0" applyFont="1" applyFill="1"/>
    <xf numFmtId="6" fontId="0" fillId="3" borderId="0" xfId="0" applyNumberFormat="1" applyFill="1"/>
    <xf numFmtId="9" fontId="0" fillId="3" borderId="0" xfId="0" applyNumberFormat="1" applyFill="1"/>
    <xf numFmtId="0" fontId="0" fillId="3" borderId="0" xfId="0" applyFill="1" applyAlignment="1">
      <alignment horizontal="left"/>
    </xf>
    <xf numFmtId="0" fontId="9" fillId="3" borderId="1" xfId="0" applyFont="1" applyFill="1" applyBorder="1" applyAlignment="1">
      <alignment horizontal="left"/>
    </xf>
    <xf numFmtId="0" fontId="0" fillId="3" borderId="0" xfId="0" applyFill="1" applyAlignment="1">
      <alignment horizontal="right"/>
    </xf>
    <xf numFmtId="10" fontId="0" fillId="3" borderId="0" xfId="0" applyNumberFormat="1" applyFill="1"/>
    <xf numFmtId="0" fontId="9" fillId="4" borderId="0" xfId="0" applyFont="1" applyFill="1"/>
    <xf numFmtId="0" fontId="0" fillId="4" borderId="0" xfId="0" applyFill="1"/>
    <xf numFmtId="0" fontId="0" fillId="4" borderId="0" xfId="0" applyFill="1" applyAlignment="1">
      <alignment horizontal="right"/>
    </xf>
    <xf numFmtId="9" fontId="0" fillId="4" borderId="0" xfId="0" applyNumberFormat="1" applyFill="1"/>
    <xf numFmtId="0" fontId="9" fillId="5" borderId="0" xfId="0" applyFont="1" applyFill="1"/>
    <xf numFmtId="0" fontId="0" fillId="5" borderId="0" xfId="0" applyFill="1"/>
    <xf numFmtId="9" fontId="0" fillId="5" borderId="0" xfId="0" applyNumberFormat="1" applyFill="1"/>
    <xf numFmtId="6" fontId="0" fillId="5" borderId="0" xfId="0" applyNumberFormat="1" applyFill="1"/>
    <xf numFmtId="9" fontId="0" fillId="4" borderId="0" xfId="0" applyNumberFormat="1" applyFill="1" applyAlignment="1">
      <alignment horizontal="right"/>
    </xf>
    <xf numFmtId="6" fontId="0" fillId="4" borderId="0" xfId="0" applyNumberFormat="1" applyFill="1" applyAlignment="1">
      <alignment horizontal="right"/>
    </xf>
    <xf numFmtId="9" fontId="0" fillId="0" borderId="0" xfId="0" applyNumberFormat="1"/>
    <xf numFmtId="0" fontId="2" fillId="2" borderId="0" xfId="0" applyFont="1" applyFill="1"/>
    <xf numFmtId="17" fontId="2" fillId="2" borderId="0" xfId="0" applyNumberFormat="1" applyFont="1" applyFill="1"/>
    <xf numFmtId="39" fontId="0" fillId="0" borderId="0" xfId="0" applyNumberFormat="1"/>
    <xf numFmtId="39" fontId="0" fillId="0" borderId="1" xfId="0" applyNumberFormat="1" applyBorder="1"/>
    <xf numFmtId="39" fontId="2" fillId="0" borderId="0" xfId="0" applyNumberFormat="1" applyFont="1"/>
    <xf numFmtId="0" fontId="5" fillId="0" borderId="1" xfId="0" applyFont="1" applyBorder="1"/>
    <xf numFmtId="44" fontId="0" fillId="0" borderId="0" xfId="0" applyNumberFormat="1"/>
    <xf numFmtId="9" fontId="0" fillId="0" borderId="0" xfId="1" applyFont="1"/>
    <xf numFmtId="10" fontId="0" fillId="0" borderId="0" xfId="0" applyNumberFormat="1"/>
    <xf numFmtId="0" fontId="9" fillId="0" borderId="0" xfId="0" applyFont="1"/>
    <xf numFmtId="39" fontId="9" fillId="0" borderId="0" xfId="0" applyNumberFormat="1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3" fontId="0" fillId="0" borderId="2" xfId="0" applyNumberFormat="1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2" xfId="0" applyBorder="1" applyAlignment="1">
      <alignment vertical="center"/>
    </xf>
    <xf numFmtId="3" fontId="0" fillId="0" borderId="2" xfId="0" applyNumberFormat="1" applyBorder="1"/>
    <xf numFmtId="3" fontId="0" fillId="0" borderId="2" xfId="0" applyNumberFormat="1" applyBorder="1" applyAlignment="1">
      <alignment vertical="center"/>
    </xf>
    <xf numFmtId="9" fontId="0" fillId="0" borderId="2" xfId="0" applyNumberFormat="1" applyBorder="1" applyAlignment="1">
      <alignment vertical="center"/>
    </xf>
    <xf numFmtId="9" fontId="0" fillId="0" borderId="2" xfId="0" applyNumberFormat="1" applyBorder="1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9" fontId="9" fillId="2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65" fontId="0" fillId="0" borderId="2" xfId="2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</cellXfs>
  <cellStyles count="3">
    <cellStyle name="Currency" xfId="2" builtinId="4"/>
    <cellStyle name="Normal" xfId="0" builtinId="0"/>
    <cellStyle name="Percent" xfId="1" builtinId="5"/>
  </cellStyles>
  <dxfs count="1">
    <dxf>
      <font>
        <color rgb="FF006100"/>
      </font>
      <fill>
        <patternFill>
          <bgColor rgb="FFC6EFCE"/>
        </patternFill>
      </fill>
    </dxf>
  </dxfs>
  <tableStyles count="1" defaultTableStyle="TableStyleMedium2" defaultPivotStyle="PivotStyleLight16">
    <tableStyle name="Invisible" pivot="0" table="0" count="0" xr9:uid="{2253AE84-083A-4E87-A3EE-9F7424C34CB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y%203%20-%20Pro%20Forma%2012-Month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 Statement"/>
      <sheetName val="Assumptions"/>
      <sheetName val="Balance Sheet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ECEE5-2CF9-B144-9C61-6E9FDC5C56D1}">
  <dimension ref="A1:I53"/>
  <sheetViews>
    <sheetView tabSelected="1" zoomScaleNormal="150" workbookViewId="0">
      <selection activeCell="B6" sqref="B6"/>
    </sheetView>
  </sheetViews>
  <sheetFormatPr baseColWidth="10" defaultColWidth="11" defaultRowHeight="16" x14ac:dyDescent="0.2"/>
  <cols>
    <col min="1" max="1" width="60.5" bestFit="1" customWidth="1"/>
    <col min="3" max="3" width="35.33203125" bestFit="1" customWidth="1"/>
    <col min="4" max="4" width="7.5" bestFit="1" customWidth="1"/>
    <col min="5" max="5" width="23.33203125" bestFit="1" customWidth="1"/>
    <col min="6" max="6" width="25" bestFit="1" customWidth="1"/>
    <col min="7" max="7" width="11" customWidth="1"/>
    <col min="8" max="8" width="44.5" bestFit="1" customWidth="1"/>
    <col min="9" max="9" width="7.5" bestFit="1" customWidth="1"/>
    <col min="11" max="11" width="13.6640625" customWidth="1"/>
    <col min="12" max="12" width="11" customWidth="1"/>
    <col min="13" max="13" width="10.83203125" customWidth="1"/>
    <col min="14" max="14" width="10.1640625" customWidth="1"/>
  </cols>
  <sheetData>
    <row r="1" spans="1:9" ht="15.75" customHeight="1" x14ac:dyDescent="0.2">
      <c r="A1" s="68" t="s">
        <v>0</v>
      </c>
      <c r="B1" s="68"/>
      <c r="C1" s="68"/>
      <c r="D1" s="68"/>
      <c r="E1" s="68"/>
      <c r="F1" s="68"/>
      <c r="H1" s="68" t="s">
        <v>58</v>
      </c>
      <c r="I1" s="68"/>
    </row>
    <row r="2" spans="1:9" x14ac:dyDescent="0.2">
      <c r="A2" s="25" t="s">
        <v>35</v>
      </c>
      <c r="B2" s="26"/>
      <c r="C2" s="35" t="s">
        <v>36</v>
      </c>
      <c r="D2" s="36"/>
      <c r="E2" s="39" t="s">
        <v>57</v>
      </c>
      <c r="F2" s="40"/>
      <c r="H2" s="19" t="s">
        <v>6</v>
      </c>
      <c r="I2" s="12"/>
    </row>
    <row r="3" spans="1:9" x14ac:dyDescent="0.2">
      <c r="A3" s="27" t="s">
        <v>1</v>
      </c>
      <c r="B3" s="26"/>
      <c r="C3" s="36"/>
      <c r="D3" s="36"/>
      <c r="E3" s="40"/>
      <c r="F3" s="40"/>
      <c r="H3" s="17" t="s">
        <v>7</v>
      </c>
      <c r="I3" s="15">
        <f>240*6</f>
        <v>1440</v>
      </c>
    </row>
    <row r="4" spans="1:9" x14ac:dyDescent="0.2">
      <c r="A4" s="28" t="s">
        <v>2</v>
      </c>
      <c r="B4" s="29">
        <f>I6</f>
        <v>2790</v>
      </c>
      <c r="C4" s="37" t="s">
        <v>50</v>
      </c>
      <c r="D4" s="43">
        <v>2.5</v>
      </c>
      <c r="E4" s="40" t="s">
        <v>59</v>
      </c>
      <c r="F4" s="41">
        <v>1.5</v>
      </c>
      <c r="H4" s="17" t="s">
        <v>8</v>
      </c>
      <c r="I4" s="15">
        <v>750</v>
      </c>
    </row>
    <row r="5" spans="1:9" x14ac:dyDescent="0.2">
      <c r="A5" s="28" t="s">
        <v>3</v>
      </c>
      <c r="B5" s="30">
        <v>0.2</v>
      </c>
      <c r="C5" s="37" t="s">
        <v>53</v>
      </c>
      <c r="D5" s="37">
        <v>12</v>
      </c>
      <c r="E5" s="40" t="s">
        <v>60</v>
      </c>
      <c r="F5" s="41">
        <v>1.5</v>
      </c>
      <c r="H5" s="16" t="s">
        <v>37</v>
      </c>
      <c r="I5" s="18">
        <f>300*2</f>
        <v>600</v>
      </c>
    </row>
    <row r="6" spans="1:9" x14ac:dyDescent="0.2">
      <c r="A6" s="26" t="s">
        <v>4</v>
      </c>
      <c r="B6" s="29">
        <f>B4*(B5+1)</f>
        <v>3348</v>
      </c>
      <c r="C6" s="37" t="s">
        <v>51</v>
      </c>
      <c r="D6" s="44">
        <f>I16*(1+B5)</f>
        <v>5676</v>
      </c>
      <c r="E6" s="40"/>
      <c r="F6" s="40"/>
      <c r="H6" s="21" t="s">
        <v>45</v>
      </c>
      <c r="I6" s="15">
        <f>SUM(I3:I5)</f>
        <v>2790</v>
      </c>
    </row>
    <row r="7" spans="1:9" x14ac:dyDescent="0.2">
      <c r="A7" s="26" t="s">
        <v>138</v>
      </c>
      <c r="B7" s="29">
        <f>B6/12</f>
        <v>279</v>
      </c>
      <c r="C7" s="37" t="s">
        <v>52</v>
      </c>
      <c r="D7" s="44">
        <f>D6/12</f>
        <v>473</v>
      </c>
      <c r="E7" s="40"/>
      <c r="F7" s="40"/>
    </row>
    <row r="8" spans="1:9" x14ac:dyDescent="0.2">
      <c r="A8" s="26" t="s">
        <v>132</v>
      </c>
      <c r="B8" s="26">
        <v>1</v>
      </c>
      <c r="C8" s="37"/>
      <c r="D8" s="36"/>
      <c r="E8" s="40"/>
      <c r="F8" s="40"/>
      <c r="H8" s="20" t="s">
        <v>38</v>
      </c>
      <c r="I8" s="12"/>
    </row>
    <row r="9" spans="1:9" x14ac:dyDescent="0.2">
      <c r="A9" s="26" t="s">
        <v>49</v>
      </c>
      <c r="B9" s="26">
        <v>3.3</v>
      </c>
      <c r="C9" s="36"/>
      <c r="D9" s="36"/>
      <c r="E9" s="40"/>
      <c r="F9" s="40"/>
      <c r="H9" s="17" t="s">
        <v>7</v>
      </c>
      <c r="I9" s="15">
        <f>240*6</f>
        <v>1440</v>
      </c>
    </row>
    <row r="10" spans="1:9" x14ac:dyDescent="0.2">
      <c r="A10" s="26"/>
      <c r="B10" s="26"/>
      <c r="C10" s="36"/>
      <c r="D10" s="36"/>
      <c r="E10" s="40"/>
      <c r="F10" s="40"/>
      <c r="H10" s="17" t="s">
        <v>8</v>
      </c>
      <c r="I10" s="15">
        <v>750</v>
      </c>
    </row>
    <row r="11" spans="1:9" x14ac:dyDescent="0.2">
      <c r="A11" s="26"/>
      <c r="B11" s="26"/>
      <c r="C11" s="36"/>
      <c r="D11" s="36"/>
      <c r="E11" s="40"/>
      <c r="F11" s="40"/>
      <c r="H11" s="17" t="s">
        <v>142</v>
      </c>
      <c r="I11" s="15">
        <f>300*2</f>
        <v>600</v>
      </c>
    </row>
    <row r="12" spans="1:9" x14ac:dyDescent="0.2">
      <c r="A12" s="26"/>
      <c r="B12" s="26"/>
      <c r="C12" s="36"/>
      <c r="D12" s="36"/>
      <c r="E12" s="40"/>
      <c r="F12" s="40"/>
      <c r="H12" s="17" t="s">
        <v>39</v>
      </c>
      <c r="I12" s="15">
        <f>60*6+200</f>
        <v>560</v>
      </c>
    </row>
    <row r="13" spans="1:9" x14ac:dyDescent="0.2">
      <c r="A13" s="27" t="s">
        <v>5</v>
      </c>
      <c r="B13" s="26"/>
      <c r="C13" s="36"/>
      <c r="D13" s="36"/>
      <c r="E13" s="40"/>
      <c r="F13" s="40"/>
      <c r="H13" s="17" t="s">
        <v>40</v>
      </c>
      <c r="I13" s="15">
        <f>200*3</f>
        <v>600</v>
      </c>
    </row>
    <row r="14" spans="1:9" x14ac:dyDescent="0.2">
      <c r="A14" s="26" t="s">
        <v>46</v>
      </c>
      <c r="B14" s="29">
        <f>B4</f>
        <v>2790</v>
      </c>
      <c r="C14" s="36"/>
      <c r="D14" s="36"/>
      <c r="E14" s="40"/>
      <c r="F14" s="40"/>
      <c r="H14" s="17" t="s">
        <v>41</v>
      </c>
      <c r="I14" s="15">
        <f>15*12</f>
        <v>180</v>
      </c>
    </row>
    <row r="15" spans="1:9" x14ac:dyDescent="0.2">
      <c r="A15" s="26" t="s">
        <v>47</v>
      </c>
      <c r="B15" s="29">
        <f>COGS/12</f>
        <v>232.5</v>
      </c>
      <c r="C15" s="36"/>
      <c r="D15" s="36"/>
      <c r="E15" s="40"/>
      <c r="F15" s="40"/>
      <c r="H15" s="16" t="s">
        <v>42</v>
      </c>
      <c r="I15" s="18">
        <f>100*6</f>
        <v>600</v>
      </c>
    </row>
    <row r="16" spans="1:9" x14ac:dyDescent="0.2">
      <c r="A16" s="31" t="s">
        <v>43</v>
      </c>
      <c r="B16" s="29">
        <f>I16</f>
        <v>4730</v>
      </c>
      <c r="C16" s="36"/>
      <c r="D16" s="36"/>
      <c r="E16" s="40"/>
      <c r="F16" s="40"/>
      <c r="H16" s="21" t="s">
        <v>44</v>
      </c>
      <c r="I16" s="15">
        <f>SUM(I9:I15)</f>
        <v>4730</v>
      </c>
    </row>
    <row r="17" spans="1:6" x14ac:dyDescent="0.2">
      <c r="A17" s="26" t="s">
        <v>48</v>
      </c>
      <c r="B17" s="29">
        <f>B16/12</f>
        <v>394.16666666666669</v>
      </c>
      <c r="C17" s="36"/>
      <c r="D17" s="36"/>
      <c r="E17" s="40"/>
      <c r="F17" s="40"/>
    </row>
    <row r="18" spans="1:6" x14ac:dyDescent="0.2">
      <c r="A18" s="26"/>
      <c r="B18" s="26"/>
      <c r="C18" s="36"/>
      <c r="D18" s="36"/>
      <c r="E18" s="40"/>
      <c r="F18" s="40"/>
    </row>
    <row r="19" spans="1:6" x14ac:dyDescent="0.2">
      <c r="A19" s="32" t="s">
        <v>10</v>
      </c>
      <c r="B19" s="26"/>
      <c r="C19" s="36"/>
      <c r="D19" s="36"/>
      <c r="E19" s="40"/>
      <c r="F19" s="40"/>
    </row>
    <row r="20" spans="1:6" x14ac:dyDescent="0.2">
      <c r="A20" s="33" t="s">
        <v>11</v>
      </c>
      <c r="B20" s="29">
        <v>58.33</v>
      </c>
      <c r="C20" s="36"/>
      <c r="D20" s="36"/>
      <c r="E20" s="40"/>
      <c r="F20" s="40"/>
    </row>
    <row r="21" spans="1:6" x14ac:dyDescent="0.2">
      <c r="A21" s="33" t="s">
        <v>12</v>
      </c>
      <c r="B21" s="29">
        <v>20</v>
      </c>
      <c r="C21" s="36"/>
      <c r="D21" s="36"/>
      <c r="E21" s="40" t="s">
        <v>56</v>
      </c>
      <c r="F21" s="42">
        <v>40000</v>
      </c>
    </row>
    <row r="22" spans="1:6" x14ac:dyDescent="0.2">
      <c r="A22" s="33" t="s">
        <v>13</v>
      </c>
      <c r="B22" s="29">
        <v>25</v>
      </c>
      <c r="C22" s="36"/>
      <c r="D22" s="36"/>
      <c r="E22" s="40" t="s">
        <v>130</v>
      </c>
      <c r="F22" s="42">
        <v>5000</v>
      </c>
    </row>
    <row r="23" spans="1:6" x14ac:dyDescent="0.2">
      <c r="A23" s="33" t="s">
        <v>139</v>
      </c>
      <c r="B23" s="29">
        <v>15</v>
      </c>
      <c r="C23" s="36"/>
      <c r="D23" s="36"/>
      <c r="E23" s="40" t="s">
        <v>131</v>
      </c>
      <c r="F23" s="42">
        <v>10000</v>
      </c>
    </row>
    <row r="24" spans="1:6" x14ac:dyDescent="0.2">
      <c r="A24" s="33" t="s">
        <v>140</v>
      </c>
      <c r="B24" s="29">
        <v>10</v>
      </c>
      <c r="C24" s="36"/>
      <c r="D24" s="36"/>
      <c r="E24" s="40"/>
      <c r="F24" s="40"/>
    </row>
    <row r="25" spans="1:6" x14ac:dyDescent="0.2">
      <c r="A25" s="33" t="s">
        <v>141</v>
      </c>
      <c r="B25" s="29">
        <v>50</v>
      </c>
      <c r="C25" s="36"/>
      <c r="D25" s="36"/>
      <c r="E25" s="40"/>
      <c r="F25" s="40"/>
    </row>
    <row r="26" spans="1:6" x14ac:dyDescent="0.2">
      <c r="A26" s="33" t="s">
        <v>55</v>
      </c>
      <c r="B26" s="29">
        <f>SUM(B20:B25)*12</f>
        <v>2139.96</v>
      </c>
      <c r="C26" s="37" t="s">
        <v>54</v>
      </c>
      <c r="D26" s="38">
        <v>0.2</v>
      </c>
      <c r="E26" s="40"/>
      <c r="F26" s="40"/>
    </row>
    <row r="27" spans="1:6" x14ac:dyDescent="0.2">
      <c r="A27" s="33" t="s">
        <v>14</v>
      </c>
      <c r="B27" s="34">
        <v>6.5000000000000002E-2</v>
      </c>
      <c r="C27" s="36"/>
      <c r="D27" s="36"/>
      <c r="E27" s="40"/>
      <c r="F27" s="40"/>
    </row>
    <row r="28" spans="1:6" x14ac:dyDescent="0.2">
      <c r="A28" s="33" t="s">
        <v>15</v>
      </c>
      <c r="B28" s="26" t="s">
        <v>61</v>
      </c>
      <c r="C28" s="36"/>
      <c r="D28" s="36"/>
      <c r="E28" s="40"/>
      <c r="F28" s="40"/>
    </row>
    <row r="30" spans="1:6" ht="15.75" customHeight="1" x14ac:dyDescent="0.2"/>
    <row r="33" spans="1:7" x14ac:dyDescent="0.2">
      <c r="A33" t="s">
        <v>135</v>
      </c>
      <c r="B33" t="s">
        <v>136</v>
      </c>
    </row>
    <row r="34" spans="1:7" x14ac:dyDescent="0.2">
      <c r="A34" t="s">
        <v>137</v>
      </c>
      <c r="B34" s="45">
        <v>0.02</v>
      </c>
    </row>
    <row r="36" spans="1:7" x14ac:dyDescent="0.2">
      <c r="A36" s="68" t="s">
        <v>16</v>
      </c>
      <c r="B36" s="68"/>
      <c r="C36" s="68"/>
      <c r="D36" s="68"/>
    </row>
    <row r="37" spans="1:7" x14ac:dyDescent="0.2">
      <c r="A37" s="1"/>
    </row>
    <row r="38" spans="1:7" x14ac:dyDescent="0.2">
      <c r="A38" s="2" t="s">
        <v>17</v>
      </c>
    </row>
    <row r="39" spans="1:7" x14ac:dyDescent="0.2">
      <c r="A39" s="4" t="s">
        <v>18</v>
      </c>
      <c r="B39" s="3">
        <v>0.05</v>
      </c>
      <c r="C39" t="s">
        <v>104</v>
      </c>
      <c r="D39" s="45">
        <v>0.79500000000000004</v>
      </c>
    </row>
    <row r="40" spans="1:7" x14ac:dyDescent="0.2">
      <c r="A40" s="4" t="s">
        <v>19</v>
      </c>
      <c r="B40" s="3">
        <v>0.05</v>
      </c>
      <c r="C40" t="s">
        <v>105</v>
      </c>
      <c r="D40" s="53">
        <f>0.795</f>
        <v>0.79500000000000004</v>
      </c>
      <c r="G40" s="52"/>
    </row>
    <row r="41" spans="1:7" x14ac:dyDescent="0.2">
      <c r="A41" s="5" t="s">
        <v>20</v>
      </c>
      <c r="B41" s="3"/>
      <c r="G41" s="52"/>
    </row>
    <row r="42" spans="1:7" x14ac:dyDescent="0.2">
      <c r="A42" s="6" t="s">
        <v>21</v>
      </c>
      <c r="B42" s="7"/>
      <c r="C42" s="6"/>
      <c r="G42" s="52"/>
    </row>
    <row r="43" spans="1:7" x14ac:dyDescent="0.2">
      <c r="A43" s="6" t="s">
        <v>106</v>
      </c>
      <c r="B43" s="7">
        <v>2000</v>
      </c>
      <c r="C43" s="6"/>
      <c r="G43" s="52"/>
    </row>
    <row r="44" spans="1:7" x14ac:dyDescent="0.2">
      <c r="A44" t="s">
        <v>107</v>
      </c>
      <c r="B44" s="7">
        <f>Year_2_Vehicle_Purchase</f>
        <v>40000</v>
      </c>
      <c r="C44" s="6"/>
      <c r="G44" s="52"/>
    </row>
    <row r="45" spans="1:7" x14ac:dyDescent="0.2">
      <c r="A45" t="s">
        <v>108</v>
      </c>
      <c r="B45" s="45">
        <v>0.1</v>
      </c>
      <c r="G45" s="52"/>
    </row>
    <row r="46" spans="1:7" x14ac:dyDescent="0.2">
      <c r="G46" s="52"/>
    </row>
    <row r="47" spans="1:7" x14ac:dyDescent="0.2">
      <c r="C47" s="6"/>
      <c r="G47" s="52"/>
    </row>
    <row r="48" spans="1:7" x14ac:dyDescent="0.2">
      <c r="A48" s="5" t="s">
        <v>22</v>
      </c>
      <c r="B48" s="7"/>
      <c r="G48" s="52"/>
    </row>
    <row r="49" spans="1:7" x14ac:dyDescent="0.2">
      <c r="A49" s="6" t="s">
        <v>23</v>
      </c>
      <c r="B49" s="7">
        <v>0</v>
      </c>
      <c r="G49" s="52"/>
    </row>
    <row r="50" spans="1:7" x14ac:dyDescent="0.2">
      <c r="A50" s="6" t="s">
        <v>24</v>
      </c>
      <c r="B50" s="7">
        <v>0</v>
      </c>
      <c r="G50" s="52"/>
    </row>
    <row r="51" spans="1:7" x14ac:dyDescent="0.2">
      <c r="A51" s="6" t="s">
        <v>25</v>
      </c>
      <c r="B51">
        <v>0</v>
      </c>
    </row>
    <row r="53" spans="1:7" x14ac:dyDescent="0.2">
      <c r="A53" s="6" t="s">
        <v>109</v>
      </c>
      <c r="B53" s="7">
        <v>10000</v>
      </c>
    </row>
  </sheetData>
  <mergeCells count="3">
    <mergeCell ref="A36:D36"/>
    <mergeCell ref="H1:I1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F01C2-275A-3841-9117-87987404B88B}">
  <dimension ref="A1:R46"/>
  <sheetViews>
    <sheetView zoomScaleNormal="80" workbookViewId="0">
      <selection activeCell="H46" sqref="H46"/>
    </sheetView>
  </sheetViews>
  <sheetFormatPr baseColWidth="10" defaultColWidth="11.1640625" defaultRowHeight="16" x14ac:dyDescent="0.2"/>
  <cols>
    <col min="1" max="1" width="15.83203125" bestFit="1" customWidth="1"/>
    <col min="15" max="18" width="12.1640625" bestFit="1" customWidth="1"/>
  </cols>
  <sheetData>
    <row r="1" spans="1:18" x14ac:dyDescent="0.2">
      <c r="A1" s="22"/>
      <c r="B1" s="69" t="s">
        <v>62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8" x14ac:dyDescent="0.2">
      <c r="A2" s="22"/>
    </row>
    <row r="3" spans="1:18" x14ac:dyDescent="0.2">
      <c r="A3" s="8"/>
      <c r="B3" s="9" t="s">
        <v>26</v>
      </c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70" t="s">
        <v>134</v>
      </c>
      <c r="P3" s="70"/>
      <c r="Q3" s="70"/>
      <c r="R3" s="70"/>
    </row>
    <row r="4" spans="1:18" x14ac:dyDescent="0.2">
      <c r="A4" s="46" t="s">
        <v>63</v>
      </c>
      <c r="B4" s="47">
        <v>46082</v>
      </c>
      <c r="C4" s="47">
        <v>46113</v>
      </c>
      <c r="D4" s="47">
        <v>46143</v>
      </c>
      <c r="E4" s="47">
        <v>46174</v>
      </c>
      <c r="F4" s="47">
        <v>46204</v>
      </c>
      <c r="G4" s="47">
        <v>46235</v>
      </c>
      <c r="H4" s="47">
        <v>46266</v>
      </c>
      <c r="I4" s="47">
        <v>46296</v>
      </c>
      <c r="J4" s="47">
        <v>46327</v>
      </c>
      <c r="K4" s="47">
        <v>46357</v>
      </c>
      <c r="L4" s="47">
        <v>46388</v>
      </c>
      <c r="M4" s="47">
        <v>46419</v>
      </c>
      <c r="N4" s="47" t="s">
        <v>133</v>
      </c>
      <c r="O4" s="9">
        <v>2027</v>
      </c>
      <c r="P4" s="14">
        <v>2028</v>
      </c>
      <c r="Q4" s="9">
        <v>2029</v>
      </c>
      <c r="R4" s="9">
        <v>2030</v>
      </c>
    </row>
    <row r="5" spans="1:18" x14ac:dyDescent="0.2">
      <c r="A5" t="s">
        <v>64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8" x14ac:dyDescent="0.2">
      <c r="A6" t="s">
        <v>65</v>
      </c>
      <c r="B6" s="48">
        <f>'Cash Flow'!B23</f>
        <v>9975.1200000000008</v>
      </c>
      <c r="C6" s="48">
        <f>'Cash Flow'!C23</f>
        <v>10103.69</v>
      </c>
      <c r="D6" s="48">
        <f>'Cash Flow'!D23</f>
        <v>10385.710000000001</v>
      </c>
      <c r="E6" s="48">
        <f>'Cash Flow'!E23</f>
        <v>10821.18</v>
      </c>
      <c r="F6" s="48">
        <f>'Cash Flow'!F23</f>
        <v>11410.1</v>
      </c>
      <c r="G6" s="48">
        <f>'Cash Flow'!G23</f>
        <v>12152.47</v>
      </c>
      <c r="H6" s="48">
        <f>'Cash Flow'!H23</f>
        <v>13048.29</v>
      </c>
      <c r="I6" s="48">
        <f>'Cash Flow'!I23</f>
        <v>14097.560000000001</v>
      </c>
      <c r="J6" s="48">
        <f>'Cash Flow'!J23</f>
        <v>15300.28</v>
      </c>
      <c r="K6" s="48">
        <f>'Cash Flow'!K23</f>
        <v>16656.45</v>
      </c>
      <c r="L6" s="48">
        <f>'Cash Flow'!L23</f>
        <v>18166.07</v>
      </c>
      <c r="M6" s="48">
        <f>'Cash Flow'!M23</f>
        <v>19829.14</v>
      </c>
      <c r="N6" s="48">
        <f>'Cash Flow'!N23</f>
        <v>19829.14</v>
      </c>
      <c r="O6" s="48">
        <f>'Cash Flow'!O23</f>
        <v>81855.188000000053</v>
      </c>
      <c r="P6" s="48">
        <f>'Cash Flow'!P23</f>
        <v>133664.64560000016</v>
      </c>
      <c r="Q6" s="48">
        <f>'Cash Flow'!Q23</f>
        <v>233803.29472000041</v>
      </c>
      <c r="R6" s="48">
        <f>'Cash Flow'!R23</f>
        <v>436920.62366400089</v>
      </c>
    </row>
    <row r="7" spans="1:18" x14ac:dyDescent="0.2">
      <c r="A7" t="s">
        <v>66</v>
      </c>
      <c r="B7" s="48">
        <f>'Income Statement'!B3*0.301075</f>
        <v>277.19975249999999</v>
      </c>
      <c r="C7" s="48">
        <f>B7*(1+Per_Month_Increase_in_Accts_Rec)</f>
        <v>291.05974012500002</v>
      </c>
      <c r="D7" s="48">
        <f t="shared" ref="D7:L7" si="0">C7*(1+Per_Month_Increase_in_Accts_Rec)</f>
        <v>305.61272713125004</v>
      </c>
      <c r="E7" s="48">
        <f t="shared" si="0"/>
        <v>320.89336348781256</v>
      </c>
      <c r="F7" s="48">
        <f t="shared" si="0"/>
        <v>336.93803166220323</v>
      </c>
      <c r="G7" s="48">
        <f t="shared" si="0"/>
        <v>353.78493324531343</v>
      </c>
      <c r="H7" s="48">
        <f t="shared" si="0"/>
        <v>371.47417990757913</v>
      </c>
      <c r="I7" s="48">
        <f t="shared" si="0"/>
        <v>390.04788890295811</v>
      </c>
      <c r="J7" s="48">
        <f t="shared" si="0"/>
        <v>409.55028334810601</v>
      </c>
      <c r="K7" s="48">
        <f t="shared" si="0"/>
        <v>430.02779751551134</v>
      </c>
      <c r="L7" s="48">
        <f t="shared" si="0"/>
        <v>451.52918739128694</v>
      </c>
      <c r="M7" s="48">
        <f>L7*(1+Per_Month_Increase_in_Accts_Rec)</f>
        <v>474.1056467608513</v>
      </c>
      <c r="N7" s="48">
        <f>M7</f>
        <v>474.1056467608513</v>
      </c>
      <c r="O7" s="48">
        <f>N7*(1+Year_2_5_increase_in_accounts_recieveable)</f>
        <v>851.01963593572805</v>
      </c>
      <c r="P7" s="48">
        <f>O7*(1+Year_2_5_increase_in_accounts_recieveable)</f>
        <v>1527.5802465046318</v>
      </c>
      <c r="Q7" s="48">
        <f>P7*(1+Year_2_5_increase_in_accounts_recieveable)</f>
        <v>2742.0065424758141</v>
      </c>
      <c r="R7" s="48">
        <f>Q7*(1+Year_2_5_increase_in_accounts_recieveable)</f>
        <v>4921.9017437440862</v>
      </c>
    </row>
    <row r="8" spans="1:18" x14ac:dyDescent="0.2">
      <c r="A8" s="12" t="s">
        <v>67</v>
      </c>
      <c r="B8" s="49">
        <v>0</v>
      </c>
      <c r="C8" s="49">
        <v>0</v>
      </c>
      <c r="D8" s="49">
        <v>0</v>
      </c>
      <c r="E8" s="49">
        <v>0</v>
      </c>
      <c r="F8" s="49">
        <v>0</v>
      </c>
      <c r="G8" s="49">
        <v>0</v>
      </c>
      <c r="H8" s="49">
        <v>0</v>
      </c>
      <c r="I8" s="49">
        <v>0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  <c r="Q8" s="49">
        <v>0</v>
      </c>
      <c r="R8" s="49">
        <v>0</v>
      </c>
    </row>
    <row r="9" spans="1:18" x14ac:dyDescent="0.2">
      <c r="A9" t="s">
        <v>68</v>
      </c>
      <c r="B9" s="48">
        <f>SUM(B6:B8)</f>
        <v>10252.319752500001</v>
      </c>
      <c r="C9" s="48">
        <f t="shared" ref="C9:R9" si="1">SUM(C6:C8)</f>
        <v>10394.749740125</v>
      </c>
      <c r="D9" s="48">
        <f t="shared" si="1"/>
        <v>10691.322727131252</v>
      </c>
      <c r="E9" s="48">
        <f t="shared" si="1"/>
        <v>11142.073363487812</v>
      </c>
      <c r="F9" s="48">
        <f t="shared" si="1"/>
        <v>11747.038031662203</v>
      </c>
      <c r="G9" s="48">
        <f t="shared" si="1"/>
        <v>12506.254933245313</v>
      </c>
      <c r="H9" s="48">
        <f t="shared" si="1"/>
        <v>13419.764179907579</v>
      </c>
      <c r="I9" s="48">
        <f t="shared" si="1"/>
        <v>14487.60788890296</v>
      </c>
      <c r="J9" s="48">
        <f t="shared" si="1"/>
        <v>15709.830283348107</v>
      </c>
      <c r="K9" s="48">
        <f t="shared" si="1"/>
        <v>17086.477797515512</v>
      </c>
      <c r="L9" s="48">
        <f t="shared" si="1"/>
        <v>18617.599187391286</v>
      </c>
      <c r="M9" s="48">
        <f t="shared" si="1"/>
        <v>20303.24564676085</v>
      </c>
      <c r="N9" s="48">
        <f>SUM(N6:N8)</f>
        <v>20303.24564676085</v>
      </c>
      <c r="O9" s="48">
        <f t="shared" si="1"/>
        <v>82706.207635935774</v>
      </c>
      <c r="P9" s="48">
        <f t="shared" si="1"/>
        <v>135192.22584650479</v>
      </c>
      <c r="Q9" s="48">
        <f t="shared" si="1"/>
        <v>236545.30126247622</v>
      </c>
      <c r="R9" s="48">
        <f t="shared" si="1"/>
        <v>441842.52540774498</v>
      </c>
    </row>
    <row r="10" spans="1:18" x14ac:dyDescent="0.2"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8" x14ac:dyDescent="0.2">
      <c r="A11" t="s">
        <v>69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</row>
    <row r="12" spans="1:18" x14ac:dyDescent="0.2">
      <c r="A12" t="s">
        <v>70</v>
      </c>
      <c r="B12" s="48">
        <v>0</v>
      </c>
      <c r="C12" s="48">
        <f>B12</f>
        <v>0</v>
      </c>
      <c r="D12" s="48">
        <f t="shared" ref="D12:L12" si="2">C12</f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  <c r="K12" s="48">
        <f t="shared" si="2"/>
        <v>0</v>
      </c>
      <c r="L12" s="48">
        <f t="shared" si="2"/>
        <v>0</v>
      </c>
      <c r="M12" s="48">
        <f>L12</f>
        <v>0</v>
      </c>
      <c r="N12" s="48">
        <f>SUM(B12:M12)</f>
        <v>0</v>
      </c>
      <c r="O12" s="48">
        <f>N12+Year_2__hardware</f>
        <v>2000</v>
      </c>
      <c r="P12" s="48">
        <f>O12+Assumptions!B44</f>
        <v>42000</v>
      </c>
      <c r="Q12" s="48">
        <f>P12</f>
        <v>42000</v>
      </c>
      <c r="R12" s="48">
        <f>Q12</f>
        <v>42000</v>
      </c>
    </row>
    <row r="13" spans="1:18" x14ac:dyDescent="0.2">
      <c r="A13" s="12" t="s">
        <v>71</v>
      </c>
      <c r="B13" s="49">
        <v>0</v>
      </c>
      <c r="C13" s="49">
        <f>B13</f>
        <v>0</v>
      </c>
      <c r="D13" s="49">
        <f t="shared" ref="D13:L13" si="3">C13</f>
        <v>0</v>
      </c>
      <c r="E13" s="49">
        <f t="shared" si="3"/>
        <v>0</v>
      </c>
      <c r="F13" s="49">
        <f t="shared" si="3"/>
        <v>0</v>
      </c>
      <c r="G13" s="49">
        <f t="shared" si="3"/>
        <v>0</v>
      </c>
      <c r="H13" s="49">
        <f t="shared" si="3"/>
        <v>0</v>
      </c>
      <c r="I13" s="49">
        <f t="shared" si="3"/>
        <v>0</v>
      </c>
      <c r="J13" s="49">
        <f t="shared" si="3"/>
        <v>0</v>
      </c>
      <c r="K13" s="49">
        <f t="shared" si="3"/>
        <v>0</v>
      </c>
      <c r="L13" s="49">
        <f t="shared" si="3"/>
        <v>0</v>
      </c>
      <c r="M13" s="49">
        <f>L13</f>
        <v>0</v>
      </c>
      <c r="N13" s="49">
        <f>SUM(B13:M13)</f>
        <v>0</v>
      </c>
      <c r="O13" s="49">
        <f>M13+(O12*Annual_depreciation_rate)</f>
        <v>200</v>
      </c>
      <c r="P13" s="49">
        <f>O13+(P12*Annual_depreciation_rate)</f>
        <v>4400</v>
      </c>
      <c r="Q13" s="49">
        <f>P13+(Q12*Annual_depreciation_rate)</f>
        <v>8600</v>
      </c>
      <c r="R13" s="49">
        <f>Q13+(R12*Annual_depreciation_rate)</f>
        <v>12800</v>
      </c>
    </row>
    <row r="14" spans="1:18" x14ac:dyDescent="0.2">
      <c r="A14" s="6" t="s">
        <v>72</v>
      </c>
      <c r="B14" s="48">
        <f t="shared" ref="B14:N14" si="4">B12-B13</f>
        <v>0</v>
      </c>
      <c r="C14" s="48">
        <f t="shared" si="4"/>
        <v>0</v>
      </c>
      <c r="D14" s="48">
        <f t="shared" si="4"/>
        <v>0</v>
      </c>
      <c r="E14" s="48">
        <f t="shared" si="4"/>
        <v>0</v>
      </c>
      <c r="F14" s="48">
        <f t="shared" si="4"/>
        <v>0</v>
      </c>
      <c r="G14" s="48">
        <f t="shared" si="4"/>
        <v>0</v>
      </c>
      <c r="H14" s="48">
        <f t="shared" si="4"/>
        <v>0</v>
      </c>
      <c r="I14" s="48">
        <f t="shared" si="4"/>
        <v>0</v>
      </c>
      <c r="J14" s="48">
        <f t="shared" si="4"/>
        <v>0</v>
      </c>
      <c r="K14" s="48">
        <f t="shared" si="4"/>
        <v>0</v>
      </c>
      <c r="L14" s="48">
        <f t="shared" si="4"/>
        <v>0</v>
      </c>
      <c r="M14" s="48">
        <f t="shared" si="4"/>
        <v>0</v>
      </c>
      <c r="N14" s="48">
        <f t="shared" si="4"/>
        <v>0</v>
      </c>
      <c r="O14" s="48">
        <f>O12-O13</f>
        <v>1800</v>
      </c>
      <c r="P14" s="48">
        <f t="shared" ref="P14:R14" si="5">P12-P13</f>
        <v>37600</v>
      </c>
      <c r="Q14" s="48">
        <f t="shared" si="5"/>
        <v>33400</v>
      </c>
      <c r="R14" s="48">
        <f t="shared" si="5"/>
        <v>29200</v>
      </c>
    </row>
    <row r="15" spans="1:18" x14ac:dyDescent="0.2"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</row>
    <row r="16" spans="1:18" x14ac:dyDescent="0.2">
      <c r="A16" t="s">
        <v>73</v>
      </c>
      <c r="B16" s="48">
        <v>0</v>
      </c>
      <c r="C16" s="48">
        <f>B16</f>
        <v>0</v>
      </c>
      <c r="D16" s="48">
        <f t="shared" ref="D16:L16" si="6">C16</f>
        <v>0</v>
      </c>
      <c r="E16" s="48">
        <f t="shared" si="6"/>
        <v>0</v>
      </c>
      <c r="F16" s="48">
        <f t="shared" si="6"/>
        <v>0</v>
      </c>
      <c r="G16" s="48">
        <f t="shared" si="6"/>
        <v>0</v>
      </c>
      <c r="H16" s="48">
        <f t="shared" si="6"/>
        <v>0</v>
      </c>
      <c r="I16" s="48">
        <f t="shared" si="6"/>
        <v>0</v>
      </c>
      <c r="J16" s="48">
        <f t="shared" si="6"/>
        <v>0</v>
      </c>
      <c r="K16" s="48">
        <f t="shared" si="6"/>
        <v>0</v>
      </c>
      <c r="L16" s="48">
        <f t="shared" si="6"/>
        <v>0</v>
      </c>
      <c r="M16" s="48">
        <f>L16</f>
        <v>0</v>
      </c>
      <c r="N16" s="48">
        <f>SUM(B16:M16)</f>
        <v>0</v>
      </c>
      <c r="O16" s="48">
        <f>N16</f>
        <v>0</v>
      </c>
      <c r="P16" s="48">
        <f t="shared" ref="P16:R16" si="7">O16</f>
        <v>0</v>
      </c>
      <c r="Q16" s="48">
        <f t="shared" si="7"/>
        <v>0</v>
      </c>
      <c r="R16" s="48">
        <f t="shared" si="7"/>
        <v>0</v>
      </c>
    </row>
    <row r="17" spans="1:18" x14ac:dyDescent="0.2"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</row>
    <row r="18" spans="1:18" x14ac:dyDescent="0.2">
      <c r="A18" s="22" t="s">
        <v>74</v>
      </c>
      <c r="B18" s="50">
        <f>B9+B14+B16</f>
        <v>10252.319752500001</v>
      </c>
      <c r="C18" s="50">
        <f t="shared" ref="C18:R18" si="8">C9+C14+C16</f>
        <v>10394.749740125</v>
      </c>
      <c r="D18" s="50">
        <f t="shared" si="8"/>
        <v>10691.322727131252</v>
      </c>
      <c r="E18" s="50">
        <f t="shared" si="8"/>
        <v>11142.073363487812</v>
      </c>
      <c r="F18" s="50">
        <f t="shared" si="8"/>
        <v>11747.038031662203</v>
      </c>
      <c r="G18" s="50">
        <f t="shared" si="8"/>
        <v>12506.254933245313</v>
      </c>
      <c r="H18" s="50">
        <f t="shared" si="8"/>
        <v>13419.764179907579</v>
      </c>
      <c r="I18" s="50">
        <f t="shared" si="8"/>
        <v>14487.60788890296</v>
      </c>
      <c r="J18" s="50">
        <f t="shared" si="8"/>
        <v>15709.830283348107</v>
      </c>
      <c r="K18" s="50">
        <f t="shared" si="8"/>
        <v>17086.477797515512</v>
      </c>
      <c r="L18" s="50">
        <f t="shared" si="8"/>
        <v>18617.599187391286</v>
      </c>
      <c r="M18" s="50">
        <f t="shared" si="8"/>
        <v>20303.24564676085</v>
      </c>
      <c r="N18" s="50">
        <f t="shared" si="8"/>
        <v>20303.24564676085</v>
      </c>
      <c r="O18" s="50">
        <f t="shared" si="8"/>
        <v>84506.207635935774</v>
      </c>
      <c r="P18" s="50">
        <f t="shared" si="8"/>
        <v>172792.22584650479</v>
      </c>
      <c r="Q18" s="50">
        <f t="shared" si="8"/>
        <v>269945.30126247625</v>
      </c>
      <c r="R18" s="50">
        <f t="shared" si="8"/>
        <v>471042.52540774498</v>
      </c>
    </row>
    <row r="19" spans="1:18" x14ac:dyDescent="0.2"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</row>
    <row r="20" spans="1:18" x14ac:dyDescent="0.2"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</row>
    <row r="21" spans="1:18" x14ac:dyDescent="0.2">
      <c r="A21" s="46" t="s">
        <v>75</v>
      </c>
      <c r="B21" s="47">
        <v>46082</v>
      </c>
      <c r="C21" s="47">
        <v>46113</v>
      </c>
      <c r="D21" s="47">
        <v>46143</v>
      </c>
      <c r="E21" s="47">
        <v>46174</v>
      </c>
      <c r="F21" s="47">
        <v>46204</v>
      </c>
      <c r="G21" s="47">
        <v>46235</v>
      </c>
      <c r="H21" s="47">
        <v>46266</v>
      </c>
      <c r="I21" s="47">
        <v>46296</v>
      </c>
      <c r="J21" s="47">
        <v>46327</v>
      </c>
      <c r="K21" s="47">
        <v>46357</v>
      </c>
      <c r="L21" s="47">
        <v>46388</v>
      </c>
      <c r="M21" s="47">
        <v>46419</v>
      </c>
      <c r="N21" s="47" t="s">
        <v>133</v>
      </c>
      <c r="O21" s="9">
        <v>2027</v>
      </c>
      <c r="P21" s="14">
        <v>2028</v>
      </c>
      <c r="Q21" s="9">
        <v>2029</v>
      </c>
      <c r="R21" s="9">
        <v>2030</v>
      </c>
    </row>
    <row r="22" spans="1:18" x14ac:dyDescent="0.2">
      <c r="A22" t="s">
        <v>76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  <row r="23" spans="1:18" x14ac:dyDescent="0.2">
      <c r="A23" t="s">
        <v>77</v>
      </c>
      <c r="B23" s="48">
        <f>B7</f>
        <v>277.19975249999999</v>
      </c>
      <c r="C23" s="48">
        <f t="shared" ref="C23:L23" si="9">B23*(1+Per_Month_Increase_in_Accts_Pay)</f>
        <v>291.05974012500002</v>
      </c>
      <c r="D23" s="48">
        <f t="shared" si="9"/>
        <v>305.61272713125004</v>
      </c>
      <c r="E23" s="48">
        <f t="shared" si="9"/>
        <v>320.89336348781256</v>
      </c>
      <c r="F23" s="48">
        <f t="shared" si="9"/>
        <v>336.93803166220323</v>
      </c>
      <c r="G23" s="48">
        <f t="shared" si="9"/>
        <v>353.78493324531343</v>
      </c>
      <c r="H23" s="48">
        <f t="shared" si="9"/>
        <v>371.47417990757913</v>
      </c>
      <c r="I23" s="48">
        <f t="shared" si="9"/>
        <v>390.04788890295811</v>
      </c>
      <c r="J23" s="48">
        <f t="shared" si="9"/>
        <v>409.55028334810601</v>
      </c>
      <c r="K23" s="48">
        <f t="shared" si="9"/>
        <v>430.02779751551134</v>
      </c>
      <c r="L23" s="48">
        <f t="shared" si="9"/>
        <v>451.52918739128694</v>
      </c>
      <c r="M23" s="48">
        <f>L23*(1+Per_Month_Increase_in_Accts_Pay)</f>
        <v>474.1056467608513</v>
      </c>
      <c r="N23" s="48">
        <f>M23</f>
        <v>474.1056467608513</v>
      </c>
      <c r="O23" s="48">
        <f>N23*(1+Year_2_5_increase_in_accounts_payable)</f>
        <v>851.01963593572805</v>
      </c>
      <c r="P23" s="48">
        <f>O23*(1+Year_2_5_increase_in_accounts_payable)</f>
        <v>1527.5802465046318</v>
      </c>
      <c r="Q23" s="48">
        <f>P23*(1+Year_2_5_increase_in_accounts_payable)</f>
        <v>2742.0065424758141</v>
      </c>
      <c r="R23" s="48">
        <f>Q23*(1+Year_2_5_increase_in_accounts_payable)</f>
        <v>4921.9017437440862</v>
      </c>
    </row>
    <row r="24" spans="1:18" x14ac:dyDescent="0.2">
      <c r="A24" t="s">
        <v>78</v>
      </c>
      <c r="B24" s="48">
        <v>0</v>
      </c>
      <c r="C24" s="48">
        <f>B24</f>
        <v>0</v>
      </c>
      <c r="D24" s="48">
        <f t="shared" ref="D24:R24" si="10">C24</f>
        <v>0</v>
      </c>
      <c r="E24" s="48">
        <f t="shared" si="10"/>
        <v>0</v>
      </c>
      <c r="F24" s="48">
        <f t="shared" si="10"/>
        <v>0</v>
      </c>
      <c r="G24" s="48">
        <f t="shared" si="10"/>
        <v>0</v>
      </c>
      <c r="H24" s="48">
        <f t="shared" si="10"/>
        <v>0</v>
      </c>
      <c r="I24" s="48">
        <f t="shared" si="10"/>
        <v>0</v>
      </c>
      <c r="J24" s="48">
        <f t="shared" si="10"/>
        <v>0</v>
      </c>
      <c r="K24" s="48">
        <f t="shared" si="10"/>
        <v>0</v>
      </c>
      <c r="L24" s="48">
        <f t="shared" si="10"/>
        <v>0</v>
      </c>
      <c r="M24" s="48">
        <f>L24</f>
        <v>0</v>
      </c>
      <c r="N24" s="48">
        <f>SUM(B24:M24)</f>
        <v>0</v>
      </c>
      <c r="O24" s="48">
        <f>N24</f>
        <v>0</v>
      </c>
      <c r="P24" s="48">
        <f t="shared" si="10"/>
        <v>0</v>
      </c>
      <c r="Q24" s="48">
        <f t="shared" si="10"/>
        <v>0</v>
      </c>
      <c r="R24" s="48">
        <f t="shared" si="10"/>
        <v>0</v>
      </c>
    </row>
    <row r="25" spans="1:18" x14ac:dyDescent="0.2">
      <c r="A25" s="12" t="s">
        <v>79</v>
      </c>
      <c r="B25" s="49">
        <v>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f>SUM(B25:M25)</f>
        <v>0</v>
      </c>
      <c r="O25" s="49">
        <f>N24</f>
        <v>0</v>
      </c>
      <c r="P25" s="49">
        <v>0</v>
      </c>
      <c r="Q25" s="49">
        <v>0</v>
      </c>
      <c r="R25" s="49">
        <v>0</v>
      </c>
    </row>
    <row r="26" spans="1:18" x14ac:dyDescent="0.2">
      <c r="A26" t="s">
        <v>68</v>
      </c>
      <c r="B26" s="48">
        <f>SUM(B23:B25)</f>
        <v>277.19975249999999</v>
      </c>
      <c r="C26" s="48">
        <f t="shared" ref="C26:R26" si="11">SUM(C23:C25)</f>
        <v>291.05974012500002</v>
      </c>
      <c r="D26" s="48">
        <f t="shared" si="11"/>
        <v>305.61272713125004</v>
      </c>
      <c r="E26" s="48">
        <f t="shared" si="11"/>
        <v>320.89336348781256</v>
      </c>
      <c r="F26" s="48">
        <f t="shared" si="11"/>
        <v>336.93803166220323</v>
      </c>
      <c r="G26" s="48">
        <f t="shared" si="11"/>
        <v>353.78493324531343</v>
      </c>
      <c r="H26" s="48">
        <f t="shared" si="11"/>
        <v>371.47417990757913</v>
      </c>
      <c r="I26" s="48">
        <f t="shared" si="11"/>
        <v>390.04788890295811</v>
      </c>
      <c r="J26" s="48">
        <f t="shared" si="11"/>
        <v>409.55028334810601</v>
      </c>
      <c r="K26" s="48">
        <f t="shared" si="11"/>
        <v>430.02779751551134</v>
      </c>
      <c r="L26" s="48">
        <f t="shared" si="11"/>
        <v>451.52918739128694</v>
      </c>
      <c r="M26" s="48">
        <f t="shared" si="11"/>
        <v>474.1056467608513</v>
      </c>
      <c r="N26" s="48">
        <f t="shared" si="11"/>
        <v>474.1056467608513</v>
      </c>
      <c r="O26" s="48">
        <f t="shared" si="11"/>
        <v>851.01963593572805</v>
      </c>
      <c r="P26" s="48">
        <f t="shared" si="11"/>
        <v>1527.5802465046318</v>
      </c>
      <c r="Q26" s="48">
        <f t="shared" si="11"/>
        <v>2742.0065424758141</v>
      </c>
      <c r="R26" s="48">
        <f t="shared" si="11"/>
        <v>4921.9017437440862</v>
      </c>
    </row>
    <row r="27" spans="1:18" x14ac:dyDescent="0.2"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8" x14ac:dyDescent="0.2">
      <c r="A28" t="s">
        <v>80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8" x14ac:dyDescent="0.2">
      <c r="A29" s="12" t="s">
        <v>81</v>
      </c>
      <c r="B29" s="49">
        <v>0</v>
      </c>
      <c r="C29" s="49">
        <f>B29</f>
        <v>0</v>
      </c>
      <c r="D29" s="49">
        <f t="shared" ref="D29:R29" si="12">C29</f>
        <v>0</v>
      </c>
      <c r="E29" s="49">
        <f t="shared" si="12"/>
        <v>0</v>
      </c>
      <c r="F29" s="49">
        <f t="shared" si="12"/>
        <v>0</v>
      </c>
      <c r="G29" s="49">
        <f t="shared" si="12"/>
        <v>0</v>
      </c>
      <c r="H29" s="49">
        <f t="shared" si="12"/>
        <v>0</v>
      </c>
      <c r="I29" s="49">
        <f t="shared" si="12"/>
        <v>0</v>
      </c>
      <c r="J29" s="49">
        <f t="shared" si="12"/>
        <v>0</v>
      </c>
      <c r="K29" s="49">
        <f t="shared" si="12"/>
        <v>0</v>
      </c>
      <c r="L29" s="49">
        <f t="shared" si="12"/>
        <v>0</v>
      </c>
      <c r="M29" s="49">
        <f>L29</f>
        <v>0</v>
      </c>
      <c r="N29" s="49">
        <f>SUM(B29:M29)</f>
        <v>0</v>
      </c>
      <c r="O29" s="49">
        <f>M29</f>
        <v>0</v>
      </c>
      <c r="P29" s="49">
        <f t="shared" si="12"/>
        <v>0</v>
      </c>
      <c r="Q29" s="49">
        <f t="shared" si="12"/>
        <v>0</v>
      </c>
      <c r="R29" s="49">
        <f t="shared" si="12"/>
        <v>0</v>
      </c>
    </row>
    <row r="30" spans="1:18" x14ac:dyDescent="0.2">
      <c r="A30" t="s">
        <v>82</v>
      </c>
      <c r="B30" s="48">
        <f>B29</f>
        <v>0</v>
      </c>
      <c r="C30" s="48">
        <f t="shared" ref="C30:R30" si="13">C29</f>
        <v>0</v>
      </c>
      <c r="D30" s="48">
        <f t="shared" si="13"/>
        <v>0</v>
      </c>
      <c r="E30" s="48">
        <f t="shared" si="13"/>
        <v>0</v>
      </c>
      <c r="F30" s="48">
        <f t="shared" si="13"/>
        <v>0</v>
      </c>
      <c r="G30" s="48">
        <f t="shared" si="13"/>
        <v>0</v>
      </c>
      <c r="H30" s="48">
        <f t="shared" si="13"/>
        <v>0</v>
      </c>
      <c r="I30" s="48">
        <f t="shared" si="13"/>
        <v>0</v>
      </c>
      <c r="J30" s="48">
        <f t="shared" si="13"/>
        <v>0</v>
      </c>
      <c r="K30" s="48">
        <f t="shared" si="13"/>
        <v>0</v>
      </c>
      <c r="L30" s="48">
        <f t="shared" si="13"/>
        <v>0</v>
      </c>
      <c r="M30" s="48">
        <f t="shared" si="13"/>
        <v>0</v>
      </c>
      <c r="N30" s="48">
        <f t="shared" si="13"/>
        <v>0</v>
      </c>
      <c r="O30" s="48">
        <f t="shared" si="13"/>
        <v>0</v>
      </c>
      <c r="P30" s="48">
        <f t="shared" si="13"/>
        <v>0</v>
      </c>
      <c r="Q30" s="48">
        <f t="shared" si="13"/>
        <v>0</v>
      </c>
      <c r="R30" s="48">
        <f t="shared" si="13"/>
        <v>0</v>
      </c>
    </row>
    <row r="31" spans="1:18" x14ac:dyDescent="0.2"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8" x14ac:dyDescent="0.2">
      <c r="A32" t="s">
        <v>83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8" x14ac:dyDescent="0.2">
      <c r="A33" t="s">
        <v>84</v>
      </c>
      <c r="B33" s="48">
        <f>Paid_in_Capital</f>
        <v>10000</v>
      </c>
      <c r="C33" s="48">
        <f>B33</f>
        <v>10000</v>
      </c>
      <c r="D33" s="48">
        <f t="shared" ref="D33:R33" si="14">C33</f>
        <v>10000</v>
      </c>
      <c r="E33" s="48">
        <f t="shared" si="14"/>
        <v>10000</v>
      </c>
      <c r="F33" s="48">
        <f t="shared" si="14"/>
        <v>10000</v>
      </c>
      <c r="G33" s="48">
        <f t="shared" si="14"/>
        <v>10000</v>
      </c>
      <c r="H33" s="48">
        <f t="shared" si="14"/>
        <v>10000</v>
      </c>
      <c r="I33" s="48">
        <f t="shared" si="14"/>
        <v>10000</v>
      </c>
      <c r="J33" s="48">
        <f t="shared" si="14"/>
        <v>10000</v>
      </c>
      <c r="K33" s="48">
        <f t="shared" si="14"/>
        <v>10000</v>
      </c>
      <c r="L33" s="48">
        <f t="shared" si="14"/>
        <v>10000</v>
      </c>
      <c r="M33" s="48">
        <f>L33</f>
        <v>10000</v>
      </c>
      <c r="N33" s="48">
        <f>M33</f>
        <v>10000</v>
      </c>
      <c r="O33" s="48">
        <f>N33</f>
        <v>10000</v>
      </c>
      <c r="P33" s="48">
        <f t="shared" si="14"/>
        <v>10000</v>
      </c>
      <c r="Q33" s="48">
        <f t="shared" si="14"/>
        <v>10000</v>
      </c>
      <c r="R33" s="48">
        <f t="shared" si="14"/>
        <v>10000</v>
      </c>
    </row>
    <row r="34" spans="1:18" x14ac:dyDescent="0.2">
      <c r="A34" s="12" t="s">
        <v>85</v>
      </c>
      <c r="B34" s="49">
        <f>'Income Statement'!B11</f>
        <v>-24.880000000000081</v>
      </c>
      <c r="C34" s="49">
        <f>B34+'Income Statement'!C11</f>
        <v>103.68999999999977</v>
      </c>
      <c r="D34" s="49">
        <f>C34+'Income Statement'!D11</f>
        <v>385.70999999999964</v>
      </c>
      <c r="E34" s="49">
        <f>D34+'Income Statement'!E11</f>
        <v>821.17999999999938</v>
      </c>
      <c r="F34" s="49">
        <f>E34+'Income Statement'!F11</f>
        <v>1410.0999999999995</v>
      </c>
      <c r="G34" s="49">
        <f>F34+'Income Statement'!G11</f>
        <v>2152.4699999999993</v>
      </c>
      <c r="H34" s="49">
        <f>G34+'Income Statement'!H11</f>
        <v>3048.29</v>
      </c>
      <c r="I34" s="49">
        <f>H34+'Income Statement'!I11</f>
        <v>4097.5599999999995</v>
      </c>
      <c r="J34" s="49">
        <f>I34+'Income Statement'!J11</f>
        <v>5300.2799999999988</v>
      </c>
      <c r="K34" s="49">
        <f>J34+'Income Statement'!K11</f>
        <v>6656.4499999999989</v>
      </c>
      <c r="L34" s="49">
        <f>K34+'Income Statement'!L11</f>
        <v>8166.0699999999979</v>
      </c>
      <c r="M34" s="49">
        <f>L34+'Income Statement'!M11</f>
        <v>9829.1399999999976</v>
      </c>
      <c r="N34" s="49">
        <f>M34</f>
        <v>9829.1399999999976</v>
      </c>
      <c r="O34" s="49">
        <f>N34+'Income Statement'!O11</f>
        <v>73655.188000000053</v>
      </c>
      <c r="P34" s="49">
        <f>O34+'Income Statement'!P11</f>
        <v>161264.64560000016</v>
      </c>
      <c r="Q34" s="49">
        <f>P34+'Income Statement'!Q11</f>
        <v>257203.29472000041</v>
      </c>
      <c r="R34" s="49">
        <f>Q34+'Income Statement'!R11</f>
        <v>456120.62366400089</v>
      </c>
    </row>
    <row r="35" spans="1:18" x14ac:dyDescent="0.2">
      <c r="A35" t="s">
        <v>86</v>
      </c>
      <c r="B35" s="48">
        <f>B33+B34</f>
        <v>9975.1200000000008</v>
      </c>
      <c r="C35" s="48">
        <f t="shared" ref="C35:R35" si="15">C33+C34</f>
        <v>10103.69</v>
      </c>
      <c r="D35" s="48">
        <f t="shared" si="15"/>
        <v>10385.709999999999</v>
      </c>
      <c r="E35" s="48">
        <f t="shared" si="15"/>
        <v>10821.18</v>
      </c>
      <c r="F35" s="48">
        <f t="shared" si="15"/>
        <v>11410.099999999999</v>
      </c>
      <c r="G35" s="48">
        <f t="shared" si="15"/>
        <v>12152.47</v>
      </c>
      <c r="H35" s="48">
        <f t="shared" si="15"/>
        <v>13048.29</v>
      </c>
      <c r="I35" s="48">
        <f t="shared" si="15"/>
        <v>14097.56</v>
      </c>
      <c r="J35" s="48">
        <f t="shared" si="15"/>
        <v>15300.279999999999</v>
      </c>
      <c r="K35" s="48">
        <f t="shared" si="15"/>
        <v>16656.449999999997</v>
      </c>
      <c r="L35" s="48">
        <f t="shared" si="15"/>
        <v>18166.07</v>
      </c>
      <c r="M35" s="48">
        <f t="shared" si="15"/>
        <v>19829.14</v>
      </c>
      <c r="N35" s="48">
        <f t="shared" si="15"/>
        <v>19829.14</v>
      </c>
      <c r="O35" s="48">
        <f t="shared" si="15"/>
        <v>83655.188000000053</v>
      </c>
      <c r="P35" s="48">
        <f t="shared" si="15"/>
        <v>171264.64560000016</v>
      </c>
      <c r="Q35" s="48">
        <f t="shared" si="15"/>
        <v>267203.29472000041</v>
      </c>
      <c r="R35" s="48">
        <f t="shared" si="15"/>
        <v>466120.62366400089</v>
      </c>
    </row>
    <row r="36" spans="1:18" x14ac:dyDescent="0.2"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8" x14ac:dyDescent="0.2">
      <c r="A37" s="22" t="s">
        <v>87</v>
      </c>
      <c r="B37" s="50">
        <f>B35+B30+B26</f>
        <v>10252.319752500001</v>
      </c>
      <c r="C37" s="50">
        <f>C35+C30+C26</f>
        <v>10394.749740125</v>
      </c>
      <c r="D37" s="50">
        <f t="shared" ref="D37:R37" si="16">D35+D30+D26</f>
        <v>10691.32272713125</v>
      </c>
      <c r="E37" s="50">
        <f t="shared" si="16"/>
        <v>11142.073363487812</v>
      </c>
      <c r="F37" s="50">
        <f t="shared" si="16"/>
        <v>11747.038031662201</v>
      </c>
      <c r="G37" s="50">
        <f t="shared" si="16"/>
        <v>12506.254933245313</v>
      </c>
      <c r="H37" s="50">
        <f t="shared" si="16"/>
        <v>13419.764179907579</v>
      </c>
      <c r="I37" s="50">
        <f t="shared" si="16"/>
        <v>14487.607888902958</v>
      </c>
      <c r="J37" s="50">
        <f t="shared" si="16"/>
        <v>15709.830283348105</v>
      </c>
      <c r="K37" s="50">
        <f t="shared" si="16"/>
        <v>17086.477797515508</v>
      </c>
      <c r="L37" s="50">
        <f t="shared" si="16"/>
        <v>18617.599187391286</v>
      </c>
      <c r="M37" s="50">
        <f t="shared" si="16"/>
        <v>20303.24564676085</v>
      </c>
      <c r="N37" s="50">
        <f t="shared" si="16"/>
        <v>20303.24564676085</v>
      </c>
      <c r="O37" s="50">
        <f t="shared" si="16"/>
        <v>84506.207635935774</v>
      </c>
      <c r="P37" s="50">
        <f t="shared" si="16"/>
        <v>172792.22584650479</v>
      </c>
      <c r="Q37" s="50">
        <f t="shared" si="16"/>
        <v>269945.30126247625</v>
      </c>
      <c r="R37" s="50">
        <f t="shared" si="16"/>
        <v>471042.52540774498</v>
      </c>
    </row>
    <row r="39" spans="1:18" x14ac:dyDescent="0.2">
      <c r="A39" s="55" t="s">
        <v>110</v>
      </c>
      <c r="B39" s="56">
        <f t="shared" ref="B39:R39" si="17">B37-B18</f>
        <v>0</v>
      </c>
      <c r="C39" s="56">
        <f t="shared" si="17"/>
        <v>0</v>
      </c>
      <c r="D39" s="56">
        <f t="shared" si="17"/>
        <v>0</v>
      </c>
      <c r="E39" s="56">
        <f t="shared" si="17"/>
        <v>0</v>
      </c>
      <c r="F39" s="56">
        <f t="shared" si="17"/>
        <v>0</v>
      </c>
      <c r="G39" s="56">
        <f t="shared" si="17"/>
        <v>0</v>
      </c>
      <c r="H39" s="56">
        <f t="shared" si="17"/>
        <v>0</v>
      </c>
      <c r="I39" s="56">
        <f t="shared" si="17"/>
        <v>0</v>
      </c>
      <c r="J39" s="56">
        <f t="shared" si="17"/>
        <v>0</v>
      </c>
      <c r="K39" s="56">
        <f t="shared" si="17"/>
        <v>0</v>
      </c>
      <c r="L39" s="56">
        <f t="shared" si="17"/>
        <v>0</v>
      </c>
      <c r="M39" s="56">
        <f t="shared" si="17"/>
        <v>0</v>
      </c>
      <c r="N39" s="56">
        <f t="shared" si="17"/>
        <v>0</v>
      </c>
      <c r="O39" s="56">
        <f t="shared" si="17"/>
        <v>0</v>
      </c>
      <c r="P39" s="56">
        <f t="shared" si="17"/>
        <v>0</v>
      </c>
      <c r="Q39" s="56">
        <f t="shared" si="17"/>
        <v>0</v>
      </c>
      <c r="R39" s="56">
        <f t="shared" si="17"/>
        <v>0</v>
      </c>
    </row>
    <row r="46" spans="1:18" x14ac:dyDescent="0.2">
      <c r="D46" s="48"/>
    </row>
  </sheetData>
  <mergeCells count="2">
    <mergeCell ref="B1:O1"/>
    <mergeCell ref="O3:R3"/>
  </mergeCells>
  <conditionalFormatting sqref="B39:R39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B1269-A0AA-404F-87BE-0243411AC686}">
  <dimension ref="A1:R23"/>
  <sheetViews>
    <sheetView topLeftCell="C1" zoomScale="109" zoomScaleNormal="141" workbookViewId="0">
      <selection activeCell="B2" sqref="B2:R2"/>
    </sheetView>
  </sheetViews>
  <sheetFormatPr baseColWidth="10" defaultColWidth="11" defaultRowHeight="15.75" customHeight="1" x14ac:dyDescent="0.2"/>
  <cols>
    <col min="1" max="1" width="14.33203125" bestFit="1" customWidth="1"/>
    <col min="16" max="16" width="11.83203125" bestFit="1" customWidth="1"/>
    <col min="18" max="18" width="13.33203125" bestFit="1" customWidth="1"/>
  </cols>
  <sheetData>
    <row r="1" spans="1:18" ht="16" x14ac:dyDescent="0.2">
      <c r="A1" s="8"/>
      <c r="B1" s="10" t="s">
        <v>26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6" x14ac:dyDescent="0.2">
      <c r="A2" s="8"/>
      <c r="B2" s="47">
        <v>46082</v>
      </c>
      <c r="C2" s="47">
        <v>46113</v>
      </c>
      <c r="D2" s="47">
        <v>46143</v>
      </c>
      <c r="E2" s="47">
        <v>46174</v>
      </c>
      <c r="F2" s="47">
        <v>46204</v>
      </c>
      <c r="G2" s="47">
        <v>46235</v>
      </c>
      <c r="H2" s="47">
        <v>46266</v>
      </c>
      <c r="I2" s="47">
        <v>46296</v>
      </c>
      <c r="J2" s="47">
        <v>46327</v>
      </c>
      <c r="K2" s="47">
        <v>46357</v>
      </c>
      <c r="L2" s="47">
        <v>46388</v>
      </c>
      <c r="M2" s="47">
        <v>46419</v>
      </c>
      <c r="N2" s="47" t="s">
        <v>133</v>
      </c>
      <c r="O2" s="9">
        <v>2027</v>
      </c>
      <c r="P2" s="14">
        <v>2028</v>
      </c>
      <c r="Q2" s="9">
        <v>2029</v>
      </c>
      <c r="R2" s="9">
        <v>2030</v>
      </c>
    </row>
    <row r="3" spans="1:18" ht="16" x14ac:dyDescent="0.2">
      <c r="A3" s="22" t="s">
        <v>27</v>
      </c>
      <c r="B3" s="7">
        <f>Monthly_Base_Package_Price*(COUNT('Income Statement'!$B$2:B2)*Base_monthly_C.A._inrease)</f>
        <v>920.69999999999993</v>
      </c>
      <c r="C3" s="7">
        <f>Monthly_Base_Package_Price*(COUNT('Income Statement'!$B$2:C2)*Base_monthly_C.A._inrease)</f>
        <v>1841.3999999999999</v>
      </c>
      <c r="D3" s="7">
        <f>Monthly_Base_Package_Price*(COUNT('Income Statement'!$B$2:D2)*Base_monthly_C.A._inrease)</f>
        <v>2762.0999999999995</v>
      </c>
      <c r="E3" s="7">
        <f>Monthly_Base_Package_Price*(COUNT('Income Statement'!$B$2:E2)*Base_monthly_C.A._inrease)</f>
        <v>3682.7999999999997</v>
      </c>
      <c r="F3" s="7">
        <f>Monthly_Base_Package_Price*(COUNT('Income Statement'!$B$2:F2)*Base_monthly_C.A._inrease)</f>
        <v>4603.5</v>
      </c>
      <c r="G3" s="7">
        <f>Monthly_Base_Package_Price*(COUNT('Income Statement'!$B$2:G2)*Base_monthly_C.A._inrease)</f>
        <v>5524.1999999999989</v>
      </c>
      <c r="H3" s="7">
        <f>Monthly_Base_Package_Price*(COUNT('Income Statement'!$B$2:H2)*Base_monthly_C.A._inrease)</f>
        <v>6444.9</v>
      </c>
      <c r="I3" s="7">
        <f>Monthly_Base_Package_Price*(COUNT('Income Statement'!$B$2:I2)*Base_monthly_C.A._inrease)</f>
        <v>7365.5999999999995</v>
      </c>
      <c r="J3" s="7">
        <f>Monthly_Base_Package_Price*(COUNT('Income Statement'!$B$2:J2)*Base_monthly_C.A._inrease)</f>
        <v>8286.2999999999993</v>
      </c>
      <c r="K3" s="7">
        <f>Monthly_Base_Package_Price*(COUNT('Income Statement'!$B$2:K2)*Base_monthly_C.A._inrease)</f>
        <v>9207</v>
      </c>
      <c r="L3" s="7">
        <f>Monthly_Base_Package_Price*(COUNT('Income Statement'!$B$2:L2)*Base_monthly_C.A._inrease)</f>
        <v>10127.699999999999</v>
      </c>
      <c r="M3" s="7">
        <f>Monthly_Base_Package_Price*(COUNT('Income Statement'!$B$2:M2)*Base_monthly_C.A._inrease)</f>
        <v>11048.399999999998</v>
      </c>
      <c r="N3" s="7">
        <f>SUM(B3:M3)</f>
        <v>71814.599999999991</v>
      </c>
      <c r="O3" s="7">
        <f>(Base_monthly_C.A._inrease*12*Annual_Base_Package_Price*(Yearly_C.A._Increase*(O2-2026))+(Year_2_Premium_C.A.*Annual_Premium_Package_Price))</f>
        <v>399564</v>
      </c>
      <c r="P3" s="7">
        <f>O3*Increase_in_Revenue</f>
        <v>599346</v>
      </c>
      <c r="Q3" s="7">
        <f>P3*Increase_in_Revenue</f>
        <v>899019</v>
      </c>
      <c r="R3" s="7">
        <f>Q3*Increase_in_Revenue</f>
        <v>1348528.5</v>
      </c>
    </row>
    <row r="4" spans="1:18" ht="16" x14ac:dyDescent="0.2">
      <c r="A4" s="23" t="s">
        <v>9</v>
      </c>
      <c r="B4" s="13">
        <f>Monthy_COGS*(COUNT('Income Statement'!$B$2:B2)*Base_monthly_C.A._inrease)</f>
        <v>767.25</v>
      </c>
      <c r="C4" s="13">
        <f>Base_Monthly_COGS*(COUNT('Income Statement'!$B$2:C2)*Base_monthly_C.A._inrease)</f>
        <v>1534.5</v>
      </c>
      <c r="D4" s="13">
        <f>Base_Monthly_COGS*(COUNT('Income Statement'!$B$2:D2)*Base_monthly_C.A._inrease)</f>
        <v>2301.7499999999995</v>
      </c>
      <c r="E4" s="13">
        <f>Base_Monthly_COGS*(COUNT('Income Statement'!$B$2:E2)*Base_monthly_C.A._inrease)</f>
        <v>3069</v>
      </c>
      <c r="F4" s="13">
        <f>Base_Monthly_COGS*(COUNT('Income Statement'!$B$2:F2)*Base_monthly_C.A._inrease)</f>
        <v>3836.25</v>
      </c>
      <c r="G4" s="13">
        <f>Base_Monthly_COGS*(COUNT('Income Statement'!$B$2:G2)*Base_monthly_C.A._inrease)</f>
        <v>4603.4999999999991</v>
      </c>
      <c r="H4" s="13">
        <f>Base_Monthly_COGS*(COUNT('Income Statement'!$B$2:H2)*Base_monthly_C.A._inrease)</f>
        <v>5370.7499999999991</v>
      </c>
      <c r="I4" s="13">
        <f>Base_Monthly_COGS*(COUNT('Income Statement'!$B$2:I2)*Base_monthly_C.A._inrease)</f>
        <v>6138</v>
      </c>
      <c r="J4" s="13">
        <f>Base_Monthly_COGS*(COUNT('Income Statement'!$B$2:J2)*Base_monthly_C.A._inrease)</f>
        <v>6905.25</v>
      </c>
      <c r="K4" s="13">
        <f>Base_Monthly_COGS*(COUNT('Income Statement'!$B$2:K2)*Base_monthly_C.A._inrease)</f>
        <v>7672.5</v>
      </c>
      <c r="L4" s="13">
        <f>Base_Monthly_COGS*(COUNT('Income Statement'!$B$2:L2)*Base_monthly_C.A._inrease)</f>
        <v>8439.75</v>
      </c>
      <c r="M4" s="13">
        <f>Base_Monthly_COGS*(COUNT('Income Statement'!$B$2:M2)*Base_monthly_C.A._inrease)</f>
        <v>9206.9999999999982</v>
      </c>
      <c r="N4" s="13">
        <f>SUM(B4:M4)</f>
        <v>59845.5</v>
      </c>
      <c r="O4" s="13">
        <f>(Base_monthly_C.A._inrease*12*Base_COGS*(Yearly_C.A._Increase*(O2-2026))+(Year_2_Premium_C.A.*Premium_COGS))</f>
        <v>332969.99999999994</v>
      </c>
      <c r="P4" s="13">
        <f>O4*increase_in_COGS</f>
        <v>499454.99999999988</v>
      </c>
      <c r="Q4" s="13">
        <f>P4*increase_in_COGS</f>
        <v>749182.49999999977</v>
      </c>
      <c r="R4" s="13">
        <f>Q4*increase_in_COGS</f>
        <v>1123773.7499999995</v>
      </c>
    </row>
    <row r="5" spans="1:18" ht="16" x14ac:dyDescent="0.2">
      <c r="A5" s="24" t="s">
        <v>28</v>
      </c>
      <c r="B5" s="7">
        <f t="shared" ref="B5:N5" si="0">B3-B4</f>
        <v>153.44999999999993</v>
      </c>
      <c r="C5" s="7">
        <f t="shared" si="0"/>
        <v>306.89999999999986</v>
      </c>
      <c r="D5" s="7">
        <f t="shared" si="0"/>
        <v>460.34999999999991</v>
      </c>
      <c r="E5" s="7">
        <f t="shared" si="0"/>
        <v>613.79999999999973</v>
      </c>
      <c r="F5" s="7">
        <f t="shared" si="0"/>
        <v>767.25</v>
      </c>
      <c r="G5" s="7">
        <f t="shared" si="0"/>
        <v>920.69999999999982</v>
      </c>
      <c r="H5" s="7">
        <f t="shared" si="0"/>
        <v>1074.1500000000005</v>
      </c>
      <c r="I5" s="7">
        <f t="shared" si="0"/>
        <v>1227.5999999999995</v>
      </c>
      <c r="J5" s="7">
        <f t="shared" si="0"/>
        <v>1381.0499999999993</v>
      </c>
      <c r="K5" s="7">
        <f t="shared" si="0"/>
        <v>1534.5</v>
      </c>
      <c r="L5" s="7">
        <f t="shared" si="0"/>
        <v>1687.9499999999989</v>
      </c>
      <c r="M5" s="7">
        <f t="shared" si="0"/>
        <v>1841.3999999999996</v>
      </c>
      <c r="N5" s="7">
        <f t="shared" si="0"/>
        <v>11969.099999999991</v>
      </c>
      <c r="O5" s="7">
        <f>O3-O4</f>
        <v>66594.000000000058</v>
      </c>
      <c r="P5" s="7">
        <f t="shared" ref="P5:R5" si="1">P3-P4</f>
        <v>99891.000000000116</v>
      </c>
      <c r="Q5" s="7">
        <f t="shared" si="1"/>
        <v>149836.50000000023</v>
      </c>
      <c r="R5" s="7">
        <f t="shared" si="1"/>
        <v>224754.75000000047</v>
      </c>
    </row>
    <row r="6" spans="1:18" ht="16" x14ac:dyDescent="0.2">
      <c r="A6" s="24" t="s">
        <v>29</v>
      </c>
      <c r="B6" s="7">
        <f t="shared" ref="B6:M6" si="2">Yearly_Op_Expense/12</f>
        <v>178.33</v>
      </c>
      <c r="C6" s="7">
        <f t="shared" si="2"/>
        <v>178.33</v>
      </c>
      <c r="D6" s="7">
        <f t="shared" si="2"/>
        <v>178.33</v>
      </c>
      <c r="E6" s="7">
        <f t="shared" si="2"/>
        <v>178.33</v>
      </c>
      <c r="F6" s="7">
        <f t="shared" si="2"/>
        <v>178.33</v>
      </c>
      <c r="G6" s="7">
        <f t="shared" si="2"/>
        <v>178.33</v>
      </c>
      <c r="H6" s="7">
        <f t="shared" si="2"/>
        <v>178.33</v>
      </c>
      <c r="I6" s="7">
        <f t="shared" si="2"/>
        <v>178.33</v>
      </c>
      <c r="J6" s="7">
        <f t="shared" si="2"/>
        <v>178.33</v>
      </c>
      <c r="K6" s="7">
        <f t="shared" si="2"/>
        <v>178.33</v>
      </c>
      <c r="L6" s="7">
        <f t="shared" si="2"/>
        <v>178.33</v>
      </c>
      <c r="M6" s="7">
        <f t="shared" si="2"/>
        <v>178.33</v>
      </c>
      <c r="N6" s="7">
        <f>SUM(B6:M6)</f>
        <v>2139.9599999999996</v>
      </c>
      <c r="O6" s="7">
        <f>Yearly_Op_Expense*(Yearly_Op_expense_increase+1)</f>
        <v>2567.9519999999998</v>
      </c>
      <c r="P6" s="7">
        <f>O6*(Yearly_Op_expense_increase+1)+Year_3_Expansion_Marketing</f>
        <v>8081.5424000000003</v>
      </c>
      <c r="Q6" s="7">
        <f>P6*(Yearly_Op_expense_increase+1)+Year_3_Vehicle_Purchase</f>
        <v>49697.850879999998</v>
      </c>
      <c r="R6" s="7">
        <f>(Q6-Year_3_Vehicle_Purchase)*(Yearly_Op_expense_increase+1)+Year_5_Expansion_Marketing</f>
        <v>21637.421055999999</v>
      </c>
    </row>
    <row r="7" spans="1:18" ht="16" x14ac:dyDescent="0.2">
      <c r="A7" s="23" t="s">
        <v>30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49">
        <f>'Balance Sheet'!O12*Annual_depreciation_rate</f>
        <v>200</v>
      </c>
      <c r="P7" s="49">
        <f>'Balance Sheet'!P12*Annual_depreciation_rate</f>
        <v>4200</v>
      </c>
      <c r="Q7" s="49">
        <f>'Balance Sheet'!Q12*Annual_depreciation_rate</f>
        <v>4200</v>
      </c>
      <c r="R7" s="49">
        <f>'Balance Sheet'!R12*Annual_depreciation_rate</f>
        <v>4200</v>
      </c>
    </row>
    <row r="8" spans="1:18" ht="16" x14ac:dyDescent="0.2">
      <c r="A8" s="24" t="s">
        <v>31</v>
      </c>
      <c r="B8" s="7">
        <f t="shared" ref="B8:M8" si="3">B5-B6</f>
        <v>-24.880000000000081</v>
      </c>
      <c r="C8" s="7">
        <f t="shared" si="3"/>
        <v>128.56999999999985</v>
      </c>
      <c r="D8" s="7">
        <f t="shared" si="3"/>
        <v>282.01999999999987</v>
      </c>
      <c r="E8" s="7">
        <f t="shared" si="3"/>
        <v>435.46999999999969</v>
      </c>
      <c r="F8" s="7">
        <f t="shared" si="3"/>
        <v>588.91999999999996</v>
      </c>
      <c r="G8" s="7">
        <f t="shared" si="3"/>
        <v>742.36999999999978</v>
      </c>
      <c r="H8" s="7">
        <f t="shared" si="3"/>
        <v>895.8200000000005</v>
      </c>
      <c r="I8" s="7">
        <f t="shared" si="3"/>
        <v>1049.2699999999995</v>
      </c>
      <c r="J8" s="7">
        <f t="shared" si="3"/>
        <v>1202.7199999999993</v>
      </c>
      <c r="K8" s="7">
        <f t="shared" si="3"/>
        <v>1356.17</v>
      </c>
      <c r="L8" s="7">
        <f t="shared" si="3"/>
        <v>1509.619999999999</v>
      </c>
      <c r="M8" s="7">
        <f t="shared" si="3"/>
        <v>1663.0699999999997</v>
      </c>
      <c r="N8" s="7">
        <f>N5-N6-N7</f>
        <v>9829.1399999999921</v>
      </c>
      <c r="O8" s="7">
        <f>O5-O6-O7</f>
        <v>63826.048000000061</v>
      </c>
      <c r="P8" s="7">
        <f>P5-P6-P7</f>
        <v>87609.457600000111</v>
      </c>
      <c r="Q8" s="7">
        <f>Q5-Q6-Q7</f>
        <v>95938.649120000235</v>
      </c>
      <c r="R8" s="7">
        <f>R5-R6-R7</f>
        <v>198917.32894400047</v>
      </c>
    </row>
    <row r="9" spans="1:18" ht="16" x14ac:dyDescent="0.2">
      <c r="A9" s="24" t="s">
        <v>32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</row>
    <row r="10" spans="1:18" ht="16" x14ac:dyDescent="0.2">
      <c r="A10" s="23" t="s">
        <v>33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</row>
    <row r="11" spans="1:18" ht="16" x14ac:dyDescent="0.2">
      <c r="A11" s="24" t="s">
        <v>34</v>
      </c>
      <c r="B11" s="7">
        <f t="shared" ref="B11:N11" si="4">B8-B9-B10</f>
        <v>-24.880000000000081</v>
      </c>
      <c r="C11" s="7">
        <f t="shared" si="4"/>
        <v>128.56999999999985</v>
      </c>
      <c r="D11" s="7">
        <f t="shared" si="4"/>
        <v>282.01999999999987</v>
      </c>
      <c r="E11" s="7">
        <f t="shared" si="4"/>
        <v>435.46999999999969</v>
      </c>
      <c r="F11" s="7">
        <f t="shared" si="4"/>
        <v>588.91999999999996</v>
      </c>
      <c r="G11" s="7">
        <f t="shared" si="4"/>
        <v>742.36999999999978</v>
      </c>
      <c r="H11" s="7">
        <f t="shared" si="4"/>
        <v>895.8200000000005</v>
      </c>
      <c r="I11" s="7">
        <f t="shared" si="4"/>
        <v>1049.2699999999995</v>
      </c>
      <c r="J11" s="7">
        <f t="shared" si="4"/>
        <v>1202.7199999999993</v>
      </c>
      <c r="K11" s="7">
        <f t="shared" si="4"/>
        <v>1356.17</v>
      </c>
      <c r="L11" s="7">
        <f t="shared" si="4"/>
        <v>1509.619999999999</v>
      </c>
      <c r="M11" s="7">
        <f t="shared" si="4"/>
        <v>1663.0699999999997</v>
      </c>
      <c r="N11" s="7">
        <f t="shared" si="4"/>
        <v>9829.1399999999921</v>
      </c>
      <c r="O11" s="7">
        <f>O8-O9-O10</f>
        <v>63826.048000000061</v>
      </c>
      <c r="P11" s="7">
        <f t="shared" ref="P11:R11" si="5">P8-P9-P10</f>
        <v>87609.457600000111</v>
      </c>
      <c r="Q11" s="7">
        <f t="shared" si="5"/>
        <v>95938.649120000235</v>
      </c>
      <c r="R11" s="7">
        <f t="shared" si="5"/>
        <v>198917.32894400047</v>
      </c>
    </row>
    <row r="12" spans="1:18" ht="15.75" customHeight="1" x14ac:dyDescent="0.2">
      <c r="M12" s="7"/>
      <c r="N12" s="7"/>
    </row>
    <row r="13" spans="1:18" ht="15.75" customHeight="1" x14ac:dyDescent="0.2">
      <c r="N13" s="7"/>
    </row>
    <row r="15" spans="1:18" ht="15.75" customHeight="1" x14ac:dyDescent="0.2"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7"/>
    </row>
    <row r="16" spans="1:18" ht="15.75" customHeight="1" x14ac:dyDescent="0.2">
      <c r="B16" s="7"/>
      <c r="M16" s="7"/>
    </row>
    <row r="19" spans="13:13" ht="15.75" customHeight="1" x14ac:dyDescent="0.2">
      <c r="M19" s="7"/>
    </row>
    <row r="21" spans="13:13" ht="15.75" customHeight="1" x14ac:dyDescent="0.2">
      <c r="M21" s="7"/>
    </row>
    <row r="22" spans="13:13" ht="15.75" customHeight="1" x14ac:dyDescent="0.2">
      <c r="M22" s="7"/>
    </row>
    <row r="23" spans="13:13" ht="15.75" customHeight="1" x14ac:dyDescent="0.2">
      <c r="M23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0697-7CB3-684B-8A2B-C01F1DADB2E4}">
  <dimension ref="A2:S25"/>
  <sheetViews>
    <sheetView topLeftCell="J1" zoomScale="114" workbookViewId="0">
      <selection activeCell="B3" sqref="B3:R3"/>
    </sheetView>
  </sheetViews>
  <sheetFormatPr baseColWidth="10" defaultColWidth="11.1640625" defaultRowHeight="16" x14ac:dyDescent="0.2"/>
  <cols>
    <col min="1" max="1" width="24.33203125" bestFit="1" customWidth="1"/>
    <col min="16" max="16" width="11.5" bestFit="1" customWidth="1"/>
    <col min="17" max="18" width="11.33203125" bestFit="1" customWidth="1"/>
  </cols>
  <sheetData>
    <row r="2" spans="1:19" x14ac:dyDescent="0.2">
      <c r="B2" t="s">
        <v>26</v>
      </c>
    </row>
    <row r="3" spans="1:19" x14ac:dyDescent="0.2">
      <c r="A3" s="46" t="s">
        <v>88</v>
      </c>
      <c r="B3" s="47">
        <v>46082</v>
      </c>
      <c r="C3" s="47">
        <v>46113</v>
      </c>
      <c r="D3" s="47">
        <v>46143</v>
      </c>
      <c r="E3" s="47">
        <v>46174</v>
      </c>
      <c r="F3" s="47">
        <v>46204</v>
      </c>
      <c r="G3" s="47">
        <v>46235</v>
      </c>
      <c r="H3" s="47">
        <v>46266</v>
      </c>
      <c r="I3" s="47">
        <v>46296</v>
      </c>
      <c r="J3" s="47">
        <v>46327</v>
      </c>
      <c r="K3" s="47">
        <v>46357</v>
      </c>
      <c r="L3" s="47">
        <v>46388</v>
      </c>
      <c r="M3" s="47">
        <v>46419</v>
      </c>
      <c r="N3" s="47" t="s">
        <v>133</v>
      </c>
      <c r="O3" s="9">
        <v>2027</v>
      </c>
      <c r="P3" s="14">
        <v>2028</v>
      </c>
      <c r="Q3" s="9">
        <v>2029</v>
      </c>
      <c r="R3" s="9">
        <v>2030</v>
      </c>
    </row>
    <row r="4" spans="1:19" x14ac:dyDescent="0.2">
      <c r="A4" t="s">
        <v>34</v>
      </c>
      <c r="B4" s="48">
        <f>'Income Statement'!B11</f>
        <v>-24.880000000000081</v>
      </c>
      <c r="C4" s="48">
        <f>'Income Statement'!C11</f>
        <v>128.56999999999985</v>
      </c>
      <c r="D4" s="48">
        <f>'Income Statement'!D11</f>
        <v>282.01999999999987</v>
      </c>
      <c r="E4" s="48">
        <f>'Income Statement'!E11</f>
        <v>435.46999999999969</v>
      </c>
      <c r="F4" s="48">
        <f>'Income Statement'!F11</f>
        <v>588.91999999999996</v>
      </c>
      <c r="G4" s="48">
        <f>'Income Statement'!G11</f>
        <v>742.36999999999978</v>
      </c>
      <c r="H4" s="48">
        <f>'Income Statement'!H11</f>
        <v>895.8200000000005</v>
      </c>
      <c r="I4" s="48">
        <f>'Income Statement'!I11</f>
        <v>1049.2699999999995</v>
      </c>
      <c r="J4" s="48">
        <f>'Income Statement'!J11</f>
        <v>1202.7199999999993</v>
      </c>
      <c r="K4" s="48">
        <f>'Income Statement'!K11</f>
        <v>1356.17</v>
      </c>
      <c r="L4" s="48">
        <f>'Income Statement'!L11</f>
        <v>1509.619999999999</v>
      </c>
      <c r="M4" s="48">
        <f>'Income Statement'!M11</f>
        <v>1663.0699999999997</v>
      </c>
      <c r="N4" s="48">
        <f>'Income Statement'!N11</f>
        <v>9829.1399999999921</v>
      </c>
      <c r="O4" s="7">
        <f>'Income Statement'!O11</f>
        <v>63826.048000000061</v>
      </c>
      <c r="P4" s="7">
        <f>'Income Statement'!P11</f>
        <v>87609.457600000111</v>
      </c>
      <c r="Q4" s="7">
        <f>'Income Statement'!Q11</f>
        <v>95938.649120000235</v>
      </c>
      <c r="R4" s="7">
        <f>'Income Statement'!R11</f>
        <v>198917.32894400047</v>
      </c>
    </row>
    <row r="5" spans="1:19" x14ac:dyDescent="0.2">
      <c r="A5" s="6" t="s">
        <v>30</v>
      </c>
      <c r="B5" s="48">
        <f>'Balance Sheet'!B13</f>
        <v>0</v>
      </c>
      <c r="C5" s="48">
        <f>'Balance Sheet'!C13-'Balance Sheet'!B13</f>
        <v>0</v>
      </c>
      <c r="D5" s="48">
        <f>'Balance Sheet'!D13-'Balance Sheet'!C13</f>
        <v>0</v>
      </c>
      <c r="E5" s="48">
        <f>'Balance Sheet'!E13-'Balance Sheet'!D13</f>
        <v>0</v>
      </c>
      <c r="F5" s="48">
        <f>'Balance Sheet'!F13-'Balance Sheet'!E13</f>
        <v>0</v>
      </c>
      <c r="G5" s="48">
        <f>'Balance Sheet'!G13-'Balance Sheet'!F13</f>
        <v>0</v>
      </c>
      <c r="H5" s="48">
        <f>'Balance Sheet'!H13-'Balance Sheet'!G13</f>
        <v>0</v>
      </c>
      <c r="I5" s="48">
        <f>'Balance Sheet'!I13-'Balance Sheet'!H13</f>
        <v>0</v>
      </c>
      <c r="J5" s="48">
        <f>'Balance Sheet'!J13-'Balance Sheet'!I13</f>
        <v>0</v>
      </c>
      <c r="K5" s="48">
        <f>'Balance Sheet'!K13-'Balance Sheet'!J13</f>
        <v>0</v>
      </c>
      <c r="L5" s="48">
        <f>'Balance Sheet'!L13-'Balance Sheet'!K13</f>
        <v>0</v>
      </c>
      <c r="M5" s="48">
        <f>'Balance Sheet'!M13-'Balance Sheet'!L13</f>
        <v>0</v>
      </c>
      <c r="N5" s="48">
        <f>'Income Statement'!N7</f>
        <v>0</v>
      </c>
      <c r="O5" s="48">
        <f>'Income Statement'!O7</f>
        <v>200</v>
      </c>
      <c r="P5" s="48">
        <f>'Income Statement'!P7</f>
        <v>4200</v>
      </c>
      <c r="Q5" s="48">
        <f>'Income Statement'!Q7</f>
        <v>4200</v>
      </c>
      <c r="R5" s="48">
        <f>'Income Statement'!R7</f>
        <v>4200</v>
      </c>
    </row>
    <row r="6" spans="1:19" x14ac:dyDescent="0.2">
      <c r="A6" s="6" t="s">
        <v>89</v>
      </c>
      <c r="B6" s="48">
        <f>0-'Balance Sheet'!B7</f>
        <v>-277.19975249999999</v>
      </c>
      <c r="C6" s="48">
        <f>'Balance Sheet'!B7-'Balance Sheet'!C7</f>
        <v>-13.859987625000031</v>
      </c>
      <c r="D6" s="48">
        <f>'Balance Sheet'!C7-'Balance Sheet'!D7</f>
        <v>-14.552987006250021</v>
      </c>
      <c r="E6" s="48">
        <f>'Balance Sheet'!D7-'Balance Sheet'!E7</f>
        <v>-15.280636356562525</v>
      </c>
      <c r="F6" s="48">
        <f>'Balance Sheet'!E7-'Balance Sheet'!F7</f>
        <v>-16.044668174390665</v>
      </c>
      <c r="G6" s="48">
        <f>'Balance Sheet'!F7-'Balance Sheet'!G7</f>
        <v>-16.846901583110196</v>
      </c>
      <c r="H6" s="48">
        <f>'Balance Sheet'!G7-'Balance Sheet'!H7</f>
        <v>-17.689246662265703</v>
      </c>
      <c r="I6" s="48">
        <f>'Balance Sheet'!H7-'Balance Sheet'!I7</f>
        <v>-18.573708995378979</v>
      </c>
      <c r="J6" s="48">
        <f>'Balance Sheet'!I7-'Balance Sheet'!J7</f>
        <v>-19.5023944451479</v>
      </c>
      <c r="K6" s="48">
        <f>'Balance Sheet'!J7-'Balance Sheet'!K7</f>
        <v>-20.477514167405332</v>
      </c>
      <c r="L6" s="48">
        <f>'Balance Sheet'!K7-'Balance Sheet'!L7</f>
        <v>-21.501389875775601</v>
      </c>
      <c r="M6" s="48">
        <f>'Balance Sheet'!L7-'Balance Sheet'!M7</f>
        <v>-22.576459369564361</v>
      </c>
      <c r="N6" s="48">
        <f>0-'Balance Sheet'!N7</f>
        <v>-474.1056467608513</v>
      </c>
      <c r="O6" s="48">
        <f>'Balance Sheet'!M7-'Balance Sheet'!O7</f>
        <v>-376.91398917487675</v>
      </c>
      <c r="P6" s="48">
        <f>'Balance Sheet'!O7-'Balance Sheet'!P7</f>
        <v>-676.56061056890371</v>
      </c>
      <c r="Q6" s="48">
        <f>'Balance Sheet'!P7-'Balance Sheet'!Q7</f>
        <v>-1214.4262959711823</v>
      </c>
      <c r="R6" s="48">
        <f>'Balance Sheet'!Q7-'Balance Sheet'!R7</f>
        <v>-2179.8952012682721</v>
      </c>
    </row>
    <row r="7" spans="1:19" x14ac:dyDescent="0.2">
      <c r="A7" s="6" t="s">
        <v>90</v>
      </c>
      <c r="B7" s="48">
        <f>0-'Balance Sheet'!B8</f>
        <v>0</v>
      </c>
      <c r="C7" s="48">
        <f>'Balance Sheet'!B8-'Balance Sheet'!C8</f>
        <v>0</v>
      </c>
      <c r="D7" s="48">
        <f>'Balance Sheet'!C8-'Balance Sheet'!D8</f>
        <v>0</v>
      </c>
      <c r="E7" s="48">
        <f>'Balance Sheet'!D8-'Balance Sheet'!E8</f>
        <v>0</v>
      </c>
      <c r="F7" s="48">
        <f>'Balance Sheet'!E8-'Balance Sheet'!F8</f>
        <v>0</v>
      </c>
      <c r="G7" s="48">
        <f>'Balance Sheet'!F8-'Balance Sheet'!G8</f>
        <v>0</v>
      </c>
      <c r="H7" s="48">
        <f>'Balance Sheet'!G8-'Balance Sheet'!H8</f>
        <v>0</v>
      </c>
      <c r="I7" s="48">
        <f>'Balance Sheet'!H8-'Balance Sheet'!I8</f>
        <v>0</v>
      </c>
      <c r="J7" s="48">
        <f>'Balance Sheet'!I8-'Balance Sheet'!J8</f>
        <v>0</v>
      </c>
      <c r="K7" s="48">
        <f>'Balance Sheet'!J8-'Balance Sheet'!K8</f>
        <v>0</v>
      </c>
      <c r="L7" s="48">
        <f>'Balance Sheet'!K8-'Balance Sheet'!L8</f>
        <v>0</v>
      </c>
      <c r="M7" s="48">
        <f>0-'Balance Sheet'!M8</f>
        <v>0</v>
      </c>
      <c r="N7" s="48">
        <f>'Balance Sheet'!M8-'Balance Sheet'!N8</f>
        <v>0</v>
      </c>
      <c r="O7" s="48">
        <f>'Balance Sheet'!M8-'Balance Sheet'!O8</f>
        <v>0</v>
      </c>
      <c r="P7" s="48">
        <f>'Balance Sheet'!O8-'Balance Sheet'!P8</f>
        <v>0</v>
      </c>
      <c r="Q7" s="48">
        <f>'Balance Sheet'!P8-'Balance Sheet'!Q8</f>
        <v>0</v>
      </c>
      <c r="R7" s="48">
        <f>'Balance Sheet'!Q8-'Balance Sheet'!R8</f>
        <v>0</v>
      </c>
    </row>
    <row r="8" spans="1:19" x14ac:dyDescent="0.2">
      <c r="A8" s="51" t="s">
        <v>91</v>
      </c>
      <c r="B8" s="49">
        <f>'Balance Sheet'!B23-0</f>
        <v>277.19975249999999</v>
      </c>
      <c r="C8" s="49">
        <f>'Balance Sheet'!C23-'Balance Sheet'!B23</f>
        <v>13.859987625000031</v>
      </c>
      <c r="D8" s="49">
        <f>'Balance Sheet'!D23-'Balance Sheet'!C23</f>
        <v>14.552987006250021</v>
      </c>
      <c r="E8" s="49">
        <f>'Balance Sheet'!E23-'Balance Sheet'!D23</f>
        <v>15.280636356562525</v>
      </c>
      <c r="F8" s="49">
        <f>'Balance Sheet'!F23-'Balance Sheet'!E23</f>
        <v>16.044668174390665</v>
      </c>
      <c r="G8" s="49">
        <f>'Balance Sheet'!G23-'Balance Sheet'!F23</f>
        <v>16.846901583110196</v>
      </c>
      <c r="H8" s="49">
        <f>'Balance Sheet'!H23-'Balance Sheet'!G23</f>
        <v>17.689246662265703</v>
      </c>
      <c r="I8" s="49">
        <f>'Balance Sheet'!I23-'Balance Sheet'!H23</f>
        <v>18.573708995378979</v>
      </c>
      <c r="J8" s="49">
        <f>'Balance Sheet'!J23-'Balance Sheet'!I23</f>
        <v>19.5023944451479</v>
      </c>
      <c r="K8" s="49">
        <f>'Balance Sheet'!K23-'Balance Sheet'!J23</f>
        <v>20.477514167405332</v>
      </c>
      <c r="L8" s="49">
        <f>'Balance Sheet'!L23-'Balance Sheet'!K23</f>
        <v>21.501389875775601</v>
      </c>
      <c r="M8" s="49">
        <f>'Balance Sheet'!M23-'Balance Sheet'!L23</f>
        <v>22.576459369564361</v>
      </c>
      <c r="N8" s="49">
        <f>'Balance Sheet'!N23-0</f>
        <v>474.1056467608513</v>
      </c>
      <c r="O8" s="49">
        <f>'Balance Sheet'!O23-'Balance Sheet'!M23</f>
        <v>376.91398917487675</v>
      </c>
      <c r="P8" s="49">
        <f>'Balance Sheet'!P23-'Balance Sheet'!O23</f>
        <v>676.56061056890371</v>
      </c>
      <c r="Q8" s="49">
        <f>'Balance Sheet'!Q23-'Balance Sheet'!P23</f>
        <v>1214.4262959711823</v>
      </c>
      <c r="R8" s="49">
        <f>'Balance Sheet'!R23-'Balance Sheet'!Q23</f>
        <v>2179.8952012682721</v>
      </c>
    </row>
    <row r="9" spans="1:19" x14ac:dyDescent="0.2">
      <c r="A9" s="6" t="s">
        <v>92</v>
      </c>
      <c r="B9" s="48">
        <f>SUM(B4:B8)</f>
        <v>-24.880000000000052</v>
      </c>
      <c r="C9" s="48">
        <f t="shared" ref="C9:R9" si="0">SUM(C4:C8)</f>
        <v>128.56999999999985</v>
      </c>
      <c r="D9" s="48">
        <f t="shared" si="0"/>
        <v>282.01999999999987</v>
      </c>
      <c r="E9" s="48">
        <f t="shared" si="0"/>
        <v>435.46999999999969</v>
      </c>
      <c r="F9" s="48">
        <f t="shared" si="0"/>
        <v>588.91999999999985</v>
      </c>
      <c r="G9" s="48">
        <f t="shared" si="0"/>
        <v>742.36999999999966</v>
      </c>
      <c r="H9" s="48">
        <f t="shared" si="0"/>
        <v>895.82000000000062</v>
      </c>
      <c r="I9" s="48">
        <f t="shared" si="0"/>
        <v>1049.2699999999995</v>
      </c>
      <c r="J9" s="48">
        <f t="shared" si="0"/>
        <v>1202.7199999999993</v>
      </c>
      <c r="K9" s="48">
        <f t="shared" si="0"/>
        <v>1356.17</v>
      </c>
      <c r="L9" s="48">
        <f t="shared" si="0"/>
        <v>1509.619999999999</v>
      </c>
      <c r="M9" s="48">
        <f t="shared" si="0"/>
        <v>1663.0699999999997</v>
      </c>
      <c r="N9" s="48">
        <f t="shared" si="0"/>
        <v>9829.1399999999921</v>
      </c>
      <c r="O9" s="48">
        <f t="shared" si="0"/>
        <v>64026.048000000061</v>
      </c>
      <c r="P9" s="48">
        <f t="shared" si="0"/>
        <v>91809.457600000111</v>
      </c>
      <c r="Q9" s="48">
        <f t="shared" si="0"/>
        <v>100138.64912000023</v>
      </c>
      <c r="R9" s="48">
        <f t="shared" si="0"/>
        <v>203117.32894400047</v>
      </c>
    </row>
    <row r="10" spans="1:19" x14ac:dyDescent="0.2"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9" x14ac:dyDescent="0.2">
      <c r="A11" s="12" t="s">
        <v>93</v>
      </c>
      <c r="B11" s="49">
        <f>0-'Balance Sheet'!B12</f>
        <v>0</v>
      </c>
      <c r="C11" s="49">
        <f>'Balance Sheet'!B12-'Balance Sheet'!C12</f>
        <v>0</v>
      </c>
      <c r="D11" s="49">
        <f>'Balance Sheet'!C12-'Balance Sheet'!D12</f>
        <v>0</v>
      </c>
      <c r="E11" s="49">
        <f>'Balance Sheet'!D12-'Balance Sheet'!E12</f>
        <v>0</v>
      </c>
      <c r="F11" s="49">
        <f>'Balance Sheet'!E12-'Balance Sheet'!F12</f>
        <v>0</v>
      </c>
      <c r="G11" s="49">
        <f>'Balance Sheet'!F12-'Balance Sheet'!G12</f>
        <v>0</v>
      </c>
      <c r="H11" s="49">
        <f>'Balance Sheet'!G12-'Balance Sheet'!H12</f>
        <v>0</v>
      </c>
      <c r="I11" s="49">
        <f>'Balance Sheet'!H12-'Balance Sheet'!I12</f>
        <v>0</v>
      </c>
      <c r="J11" s="49">
        <f>'Balance Sheet'!I12-'Balance Sheet'!J12</f>
        <v>0</v>
      </c>
      <c r="K11" s="49">
        <f>'Balance Sheet'!J12-'Balance Sheet'!K12</f>
        <v>0</v>
      </c>
      <c r="L11" s="49">
        <f>'Balance Sheet'!K12-'Balance Sheet'!L12</f>
        <v>0</v>
      </c>
      <c r="M11" s="49">
        <f>'Balance Sheet'!L12-'Balance Sheet'!M12</f>
        <v>0</v>
      </c>
      <c r="N11" s="49">
        <f>0-'Balance Sheet'!N12</f>
        <v>0</v>
      </c>
      <c r="O11" s="49">
        <f>'Balance Sheet'!M12-'Balance Sheet'!O12</f>
        <v>-2000</v>
      </c>
      <c r="P11" s="49">
        <f>'Balance Sheet'!O12-'Balance Sheet'!P12</f>
        <v>-40000</v>
      </c>
      <c r="Q11" s="49">
        <f>'Balance Sheet'!P12-'Balance Sheet'!Q12</f>
        <v>0</v>
      </c>
      <c r="R11" s="49">
        <f>'Balance Sheet'!Q12-'Balance Sheet'!R12</f>
        <v>0</v>
      </c>
    </row>
    <row r="12" spans="1:19" x14ac:dyDescent="0.2">
      <c r="A12" t="s">
        <v>94</v>
      </c>
      <c r="B12" s="48">
        <f>B11</f>
        <v>0</v>
      </c>
      <c r="C12" s="48">
        <f t="shared" ref="C12:R12" si="1">C11</f>
        <v>0</v>
      </c>
      <c r="D12" s="48">
        <f t="shared" si="1"/>
        <v>0</v>
      </c>
      <c r="E12" s="48">
        <f t="shared" si="1"/>
        <v>0</v>
      </c>
      <c r="F12" s="48">
        <f t="shared" si="1"/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48">
        <f t="shared" si="1"/>
        <v>0</v>
      </c>
      <c r="K12" s="48">
        <f t="shared" si="1"/>
        <v>0</v>
      </c>
      <c r="L12" s="48">
        <f t="shared" si="1"/>
        <v>0</v>
      </c>
      <c r="M12" s="48">
        <f t="shared" si="1"/>
        <v>0</v>
      </c>
      <c r="N12" s="48">
        <f t="shared" si="1"/>
        <v>0</v>
      </c>
      <c r="O12" s="48">
        <f t="shared" si="1"/>
        <v>-2000</v>
      </c>
      <c r="P12" s="48">
        <f t="shared" si="1"/>
        <v>-40000</v>
      </c>
      <c r="Q12" s="48">
        <f t="shared" si="1"/>
        <v>0</v>
      </c>
      <c r="R12" s="48">
        <f t="shared" si="1"/>
        <v>0</v>
      </c>
    </row>
    <row r="13" spans="1:19" x14ac:dyDescent="0.2"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</row>
    <row r="14" spans="1:19" x14ac:dyDescent="0.2">
      <c r="A14" t="s">
        <v>95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</row>
    <row r="15" spans="1:19" x14ac:dyDescent="0.2">
      <c r="A15" t="s">
        <v>96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</row>
    <row r="16" spans="1:19" x14ac:dyDescent="0.2">
      <c r="A16" t="s">
        <v>97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</row>
    <row r="17" spans="1:18" x14ac:dyDescent="0.2">
      <c r="A17" t="s">
        <v>98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</row>
    <row r="18" spans="1:18" x14ac:dyDescent="0.2">
      <c r="A18" s="12" t="s">
        <v>99</v>
      </c>
      <c r="B18" s="49">
        <v>10000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</row>
    <row r="19" spans="1:18" x14ac:dyDescent="0.2">
      <c r="A19" t="s">
        <v>100</v>
      </c>
      <c r="B19" s="48">
        <f>SUM(B14:B18)</f>
        <v>10000</v>
      </c>
      <c r="C19" s="48">
        <f t="shared" ref="C19:R19" si="2">SUM(C14:C18)</f>
        <v>0</v>
      </c>
      <c r="D19" s="48">
        <f t="shared" si="2"/>
        <v>0</v>
      </c>
      <c r="E19" s="48">
        <f t="shared" si="2"/>
        <v>0</v>
      </c>
      <c r="F19" s="48">
        <f t="shared" si="2"/>
        <v>0</v>
      </c>
      <c r="G19" s="48">
        <f t="shared" si="2"/>
        <v>0</v>
      </c>
      <c r="H19" s="48">
        <f t="shared" si="2"/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  <c r="L19" s="48">
        <f t="shared" si="2"/>
        <v>0</v>
      </c>
      <c r="M19" s="48">
        <f t="shared" si="2"/>
        <v>0</v>
      </c>
      <c r="N19" s="48">
        <f t="shared" si="2"/>
        <v>0</v>
      </c>
      <c r="O19" s="48">
        <f t="shared" si="2"/>
        <v>0</v>
      </c>
      <c r="P19" s="48">
        <f t="shared" si="2"/>
        <v>0</v>
      </c>
      <c r="Q19" s="48">
        <f t="shared" si="2"/>
        <v>0</v>
      </c>
      <c r="R19" s="48">
        <f t="shared" si="2"/>
        <v>0</v>
      </c>
    </row>
    <row r="20" spans="1:18" x14ac:dyDescent="0.2"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</row>
    <row r="21" spans="1:18" x14ac:dyDescent="0.2">
      <c r="A21" t="s">
        <v>101</v>
      </c>
      <c r="B21" s="48">
        <f>B19+B12+B9</f>
        <v>9975.1200000000008</v>
      </c>
      <c r="C21" s="48">
        <f t="shared" ref="C21:R21" si="3">C19+C12+C9</f>
        <v>128.56999999999985</v>
      </c>
      <c r="D21" s="48">
        <f t="shared" si="3"/>
        <v>282.01999999999987</v>
      </c>
      <c r="E21" s="48">
        <f t="shared" si="3"/>
        <v>435.46999999999969</v>
      </c>
      <c r="F21" s="48">
        <f t="shared" si="3"/>
        <v>588.91999999999985</v>
      </c>
      <c r="G21" s="48">
        <f t="shared" si="3"/>
        <v>742.36999999999966</v>
      </c>
      <c r="H21" s="48">
        <f t="shared" si="3"/>
        <v>895.82000000000062</v>
      </c>
      <c r="I21" s="48">
        <f t="shared" si="3"/>
        <v>1049.2699999999995</v>
      </c>
      <c r="J21" s="48">
        <f t="shared" si="3"/>
        <v>1202.7199999999993</v>
      </c>
      <c r="K21" s="48">
        <f t="shared" si="3"/>
        <v>1356.17</v>
      </c>
      <c r="L21" s="48">
        <f t="shared" si="3"/>
        <v>1509.619999999999</v>
      </c>
      <c r="M21" s="48">
        <f t="shared" si="3"/>
        <v>1663.0699999999997</v>
      </c>
      <c r="N21" s="48">
        <f>M21</f>
        <v>1663.0699999999997</v>
      </c>
      <c r="O21" s="48">
        <f t="shared" si="3"/>
        <v>62026.048000000061</v>
      </c>
      <c r="P21" s="48">
        <f t="shared" si="3"/>
        <v>51809.457600000111</v>
      </c>
      <c r="Q21" s="48">
        <f t="shared" si="3"/>
        <v>100138.64912000023</v>
      </c>
      <c r="R21" s="48">
        <f t="shared" si="3"/>
        <v>203117.32894400047</v>
      </c>
    </row>
    <row r="22" spans="1:18" x14ac:dyDescent="0.2">
      <c r="A22" s="12" t="s">
        <v>102</v>
      </c>
      <c r="B22" s="49">
        <v>0</v>
      </c>
      <c r="C22" s="49">
        <f>B23</f>
        <v>9975.1200000000008</v>
      </c>
      <c r="D22" s="49">
        <f t="shared" ref="D22:R22" si="4">C23</f>
        <v>10103.69</v>
      </c>
      <c r="E22" s="49">
        <f t="shared" si="4"/>
        <v>10385.710000000001</v>
      </c>
      <c r="F22" s="49">
        <f t="shared" si="4"/>
        <v>10821.18</v>
      </c>
      <c r="G22" s="49">
        <f t="shared" si="4"/>
        <v>11410.1</v>
      </c>
      <c r="H22" s="49">
        <f t="shared" si="4"/>
        <v>12152.47</v>
      </c>
      <c r="I22" s="49">
        <f t="shared" si="4"/>
        <v>13048.29</v>
      </c>
      <c r="J22" s="49">
        <f t="shared" si="4"/>
        <v>14097.560000000001</v>
      </c>
      <c r="K22" s="49">
        <f t="shared" si="4"/>
        <v>15300.28</v>
      </c>
      <c r="L22" s="49">
        <f t="shared" si="4"/>
        <v>16656.45</v>
      </c>
      <c r="M22" s="49">
        <f t="shared" si="4"/>
        <v>18166.07</v>
      </c>
      <c r="N22" s="49">
        <f>M22</f>
        <v>18166.07</v>
      </c>
      <c r="O22" s="49">
        <f t="shared" si="4"/>
        <v>19829.14</v>
      </c>
      <c r="P22" s="49">
        <f t="shared" si="4"/>
        <v>81855.188000000053</v>
      </c>
      <c r="Q22" s="49">
        <f t="shared" si="4"/>
        <v>133664.64560000016</v>
      </c>
      <c r="R22" s="49">
        <f t="shared" si="4"/>
        <v>233803.29472000041</v>
      </c>
    </row>
    <row r="23" spans="1:18" x14ac:dyDescent="0.2">
      <c r="A23" t="s">
        <v>103</v>
      </c>
      <c r="B23" s="48">
        <f>B22+B21</f>
        <v>9975.1200000000008</v>
      </c>
      <c r="C23" s="48">
        <f t="shared" ref="C23:R23" si="5">C22+C21</f>
        <v>10103.69</v>
      </c>
      <c r="D23" s="48">
        <f t="shared" si="5"/>
        <v>10385.710000000001</v>
      </c>
      <c r="E23" s="48">
        <f t="shared" si="5"/>
        <v>10821.18</v>
      </c>
      <c r="F23" s="48">
        <f t="shared" si="5"/>
        <v>11410.1</v>
      </c>
      <c r="G23" s="48">
        <f t="shared" si="5"/>
        <v>12152.47</v>
      </c>
      <c r="H23" s="48">
        <f t="shared" si="5"/>
        <v>13048.29</v>
      </c>
      <c r="I23" s="48">
        <f t="shared" si="5"/>
        <v>14097.560000000001</v>
      </c>
      <c r="J23" s="48">
        <f t="shared" si="5"/>
        <v>15300.28</v>
      </c>
      <c r="K23" s="48">
        <f t="shared" si="5"/>
        <v>16656.45</v>
      </c>
      <c r="L23" s="48">
        <f t="shared" si="5"/>
        <v>18166.07</v>
      </c>
      <c r="M23" s="48">
        <f t="shared" si="5"/>
        <v>19829.14</v>
      </c>
      <c r="N23" s="48">
        <f t="shared" si="5"/>
        <v>19829.14</v>
      </c>
      <c r="O23" s="48">
        <f>O22+O21</f>
        <v>81855.188000000053</v>
      </c>
      <c r="P23" s="48">
        <f t="shared" si="5"/>
        <v>133664.64560000016</v>
      </c>
      <c r="Q23" s="48">
        <f t="shared" si="5"/>
        <v>233803.29472000041</v>
      </c>
      <c r="R23" s="48">
        <f t="shared" si="5"/>
        <v>436920.62366400089</v>
      </c>
    </row>
    <row r="24" spans="1:18" x14ac:dyDescent="0.2"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8" x14ac:dyDescent="0.2">
      <c r="A25" s="6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2906D-E9E4-5E4C-982F-6037AF0827A6}">
  <dimension ref="A2:I11"/>
  <sheetViews>
    <sheetView workbookViewId="0">
      <selection activeCell="E8" sqref="E8"/>
    </sheetView>
  </sheetViews>
  <sheetFormatPr baseColWidth="10" defaultRowHeight="16" x14ac:dyDescent="0.2"/>
  <cols>
    <col min="1" max="1" width="30.83203125" bestFit="1" customWidth="1"/>
    <col min="5" max="5" width="15.5" bestFit="1" customWidth="1"/>
    <col min="6" max="6" width="9.83203125" bestFit="1" customWidth="1"/>
    <col min="7" max="7" width="11.6640625" bestFit="1" customWidth="1"/>
    <col min="8" max="8" width="9.83203125" bestFit="1" customWidth="1"/>
    <col min="9" max="9" width="11.6640625" bestFit="1" customWidth="1"/>
  </cols>
  <sheetData>
    <row r="2" spans="1:9" x14ac:dyDescent="0.2">
      <c r="A2" t="s">
        <v>111</v>
      </c>
      <c r="B2" s="64">
        <f>'Income Statement'!R3</f>
        <v>1348528.5</v>
      </c>
      <c r="F2" s="71" t="s">
        <v>112</v>
      </c>
      <c r="G2" s="71"/>
      <c r="H2" s="71" t="s">
        <v>113</v>
      </c>
      <c r="I2" s="71"/>
    </row>
    <row r="3" spans="1:9" x14ac:dyDescent="0.2">
      <c r="A3" t="s">
        <v>114</v>
      </c>
      <c r="B3" s="64">
        <f>'Income Statement'!R11</f>
        <v>198917.32894400047</v>
      </c>
      <c r="F3" s="58" t="s">
        <v>115</v>
      </c>
      <c r="G3" s="58" t="s">
        <v>116</v>
      </c>
      <c r="H3" s="59" t="s">
        <v>115</v>
      </c>
      <c r="I3" s="59" t="s">
        <v>116</v>
      </c>
    </row>
    <row r="4" spans="1:9" x14ac:dyDescent="0.2">
      <c r="E4" s="60" t="s">
        <v>117</v>
      </c>
      <c r="F4" s="61">
        <v>1000000</v>
      </c>
      <c r="G4" s="62">
        <v>1</v>
      </c>
      <c r="H4" s="65">
        <v>1000000</v>
      </c>
      <c r="I4" s="66">
        <f>(H4+H5)/H6</f>
        <v>1</v>
      </c>
    </row>
    <row r="5" spans="1:9" x14ac:dyDescent="0.2">
      <c r="A5" t="s">
        <v>118</v>
      </c>
      <c r="B5" s="57">
        <v>4</v>
      </c>
      <c r="E5" s="60" t="s">
        <v>119</v>
      </c>
      <c r="F5" s="58" t="s">
        <v>120</v>
      </c>
      <c r="G5" s="58" t="s">
        <v>120</v>
      </c>
      <c r="H5" s="63">
        <f>(B11/(1-B11))*F6</f>
        <v>0</v>
      </c>
      <c r="I5" s="66">
        <f>B11</f>
        <v>0</v>
      </c>
    </row>
    <row r="6" spans="1:9" x14ac:dyDescent="0.2">
      <c r="A6" t="s">
        <v>121</v>
      </c>
      <c r="B6" s="64">
        <f>B3*B5</f>
        <v>795669.31577600189</v>
      </c>
      <c r="E6" s="60" t="s">
        <v>122</v>
      </c>
      <c r="F6" s="61">
        <v>1000000</v>
      </c>
      <c r="G6" s="62">
        <v>1</v>
      </c>
      <c r="H6" s="65">
        <f>SUM(H4:H5)</f>
        <v>1000000</v>
      </c>
      <c r="I6" s="66">
        <f>SUM(I4:I5)</f>
        <v>1</v>
      </c>
    </row>
    <row r="7" spans="1:9" x14ac:dyDescent="0.2">
      <c r="E7" s="60" t="s">
        <v>123</v>
      </c>
      <c r="F7" s="71" t="s">
        <v>120</v>
      </c>
      <c r="G7" s="71"/>
      <c r="H7" s="73">
        <f>B6/H6</f>
        <v>0.79566931577600186</v>
      </c>
      <c r="I7" s="73"/>
    </row>
    <row r="8" spans="1:9" x14ac:dyDescent="0.2">
      <c r="A8" t="s">
        <v>124</v>
      </c>
      <c r="B8" s="57">
        <v>0</v>
      </c>
      <c r="E8" s="60" t="s">
        <v>125</v>
      </c>
      <c r="F8" s="71" t="s">
        <v>120</v>
      </c>
      <c r="G8" s="71"/>
      <c r="H8" s="72">
        <f>F6*H7</f>
        <v>795669.31577600189</v>
      </c>
      <c r="I8" s="72"/>
    </row>
    <row r="9" spans="1:9" x14ac:dyDescent="0.2">
      <c r="A9" t="s">
        <v>126</v>
      </c>
      <c r="B9" s="57" t="s">
        <v>120</v>
      </c>
      <c r="E9" s="60" t="s">
        <v>127</v>
      </c>
      <c r="F9" s="71" t="s">
        <v>120</v>
      </c>
      <c r="G9" s="71"/>
      <c r="H9" s="72">
        <f>H6*H7</f>
        <v>795669.31577600189</v>
      </c>
      <c r="I9" s="72"/>
    </row>
    <row r="10" spans="1:9" x14ac:dyDescent="0.2">
      <c r="A10" t="s">
        <v>128</v>
      </c>
      <c r="B10" s="57" t="s">
        <v>120</v>
      </c>
    </row>
    <row r="11" spans="1:9" x14ac:dyDescent="0.2">
      <c r="A11" t="s">
        <v>129</v>
      </c>
      <c r="B11" s="67">
        <v>0</v>
      </c>
    </row>
  </sheetData>
  <mergeCells count="8">
    <mergeCell ref="F9:G9"/>
    <mergeCell ref="H9:I9"/>
    <mergeCell ref="F2:G2"/>
    <mergeCell ref="H2:I2"/>
    <mergeCell ref="F7:G7"/>
    <mergeCell ref="H7:I7"/>
    <mergeCell ref="F8:G8"/>
    <mergeCell ref="H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36</vt:i4>
      </vt:variant>
    </vt:vector>
  </HeadingPairs>
  <TitlesOfParts>
    <vt:vector size="41" baseType="lpstr">
      <vt:lpstr>Assumptions</vt:lpstr>
      <vt:lpstr>Balance Sheet</vt:lpstr>
      <vt:lpstr>Income Statement</vt:lpstr>
      <vt:lpstr>Cash Flow</vt:lpstr>
      <vt:lpstr>Cap Table</vt:lpstr>
      <vt:lpstr>\</vt:lpstr>
      <vt:lpstr>Annual_Base_Package_Price</vt:lpstr>
      <vt:lpstr>Annual_depreciation_rate</vt:lpstr>
      <vt:lpstr>Annual_Premium_Package_Price</vt:lpstr>
      <vt:lpstr>Annual_Price_of_Contractors</vt:lpstr>
      <vt:lpstr>Base_COGS</vt:lpstr>
      <vt:lpstr>Base_monthly_C.A._inrease</vt:lpstr>
      <vt:lpstr>Base_Monthly_COGS</vt:lpstr>
      <vt:lpstr>Base_total</vt:lpstr>
      <vt:lpstr>COGS</vt:lpstr>
      <vt:lpstr>increase_in_COGS</vt:lpstr>
      <vt:lpstr>Increase_in_Revenue</vt:lpstr>
      <vt:lpstr>January_Base_Customer_Acquisitions</vt:lpstr>
      <vt:lpstr>January_Customer_Acquisitions</vt:lpstr>
      <vt:lpstr>Monthly_Base_Package_Price</vt:lpstr>
      <vt:lpstr>Monthly_COGS</vt:lpstr>
      <vt:lpstr>Monthly_Premium_Package_Price</vt:lpstr>
      <vt:lpstr>Monthy_COGS</vt:lpstr>
      <vt:lpstr>Montthly_C.A._inrease</vt:lpstr>
      <vt:lpstr>Paid_in_Capital</vt:lpstr>
      <vt:lpstr>Per_Month_Increase_in_Accts_Pay</vt:lpstr>
      <vt:lpstr>Per_Month_Increase_in_Accts_Rec</vt:lpstr>
      <vt:lpstr>Per_Month_Sales_Increase</vt:lpstr>
      <vt:lpstr>Premium_COGS</vt:lpstr>
      <vt:lpstr>Premium_Monthly_COGS</vt:lpstr>
      <vt:lpstr>Year_2__hardware</vt:lpstr>
      <vt:lpstr>Year_2_5_increase_in_accounts_payable</vt:lpstr>
      <vt:lpstr>Year_2_5_increase_in_accounts_recieveable</vt:lpstr>
      <vt:lpstr>Year_2_Premium_C.A.</vt:lpstr>
      <vt:lpstr>Year_2_Vehicle_Purchase</vt:lpstr>
      <vt:lpstr>Year_3_Expansion_Marketing</vt:lpstr>
      <vt:lpstr>Year_3_Vehicle_Purchase</vt:lpstr>
      <vt:lpstr>Year_5_Expansion_Marketing</vt:lpstr>
      <vt:lpstr>Yearly_C.A._Increase</vt:lpstr>
      <vt:lpstr>Yearly_Op_Expense</vt:lpstr>
      <vt:lpstr>Yearly_Op_expense_increase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Mitchell, Isaac G.</dc:creator>
  <cp:keywords/>
  <dc:description/>
  <cp:lastModifiedBy>Mitchell, Isaac G.</cp:lastModifiedBy>
  <cp:revision/>
  <dcterms:created xsi:type="dcterms:W3CDTF">2024-10-15T22:58:48Z</dcterms:created>
  <dcterms:modified xsi:type="dcterms:W3CDTF">2024-12-12T05:19:16Z</dcterms:modified>
  <cp:category/>
  <cp:contentStatus/>
</cp:coreProperties>
</file>